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51204/"/>
    </mc:Choice>
  </mc:AlternateContent>
  <xr:revisionPtr revIDLastSave="0" documentId="13_ncr:1_{238B4492-7A83-D946-A186-F58F7C9A0A4B}" xr6:coauthVersionLast="47" xr6:coauthVersionMax="47" xr10:uidLastSave="{00000000-0000-0000-0000-000000000000}"/>
  <bookViews>
    <workbookView xWindow="29720" yWindow="-1020" windowWidth="37480" windowHeight="19140" xr2:uid="{EF328E6F-9CCF-444D-A76F-F626E7C71552}"/>
  </bookViews>
  <sheets>
    <sheet name="Budget_Spend" sheetId="11" r:id="rId1"/>
    <sheet name="Summary" sheetId="12" r:id="rId2"/>
  </sheets>
  <definedNames>
    <definedName name="_xlnm._FilterDatabase" localSheetId="0" hidden="1">Budget_Spend!$A$3:$F$65</definedName>
    <definedName name="_xlnm.Print_Area" localSheetId="0">Budget_Spend!$A$3:$N$68</definedName>
    <definedName name="_xlnm.Print_Titles" localSheetId="0">Budget_Spend!$3:$3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1" l="1"/>
  <c r="I27" i="11"/>
  <c r="N5" i="11"/>
  <c r="M65" i="11"/>
  <c r="G65" i="11" l="1"/>
  <c r="M66" i="11" s="1"/>
  <c r="O6" i="11"/>
  <c r="M59" i="11" l="1"/>
  <c r="M60" i="11"/>
  <c r="G60" i="11"/>
  <c r="M51" i="11"/>
  <c r="M48" i="11"/>
  <c r="M49" i="11"/>
  <c r="O49" i="11" s="1"/>
  <c r="M50" i="11"/>
  <c r="M47" i="11"/>
  <c r="M42" i="11"/>
  <c r="M41" i="11"/>
  <c r="M40" i="11"/>
  <c r="M37" i="11"/>
  <c r="M36" i="11"/>
  <c r="M39" i="11"/>
  <c r="M34" i="11"/>
  <c r="L6" i="11" l="1"/>
  <c r="L5" i="11"/>
  <c r="M31" i="11" l="1"/>
  <c r="M27" i="11"/>
  <c r="M23" i="11" l="1"/>
  <c r="M20" i="11"/>
  <c r="M14" i="11"/>
  <c r="M15" i="11"/>
  <c r="M13" i="11"/>
  <c r="M10" i="11"/>
  <c r="L24" i="11"/>
  <c r="L20" i="11"/>
  <c r="L18" i="11"/>
  <c r="M62" i="11" l="1"/>
  <c r="M16" i="11"/>
  <c r="M53" i="11" s="1"/>
  <c r="L49" i="11"/>
  <c r="M63" i="11" l="1"/>
  <c r="M64" i="11" s="1"/>
  <c r="G4" i="12"/>
  <c r="G7" i="12" s="1"/>
  <c r="G8" i="12" s="1"/>
  <c r="I58" i="11"/>
  <c r="I57" i="11"/>
  <c r="I56" i="11"/>
  <c r="H59" i="11"/>
  <c r="H53" i="11"/>
  <c r="I45" i="11"/>
  <c r="L45" i="11" s="1"/>
  <c r="I46" i="11"/>
  <c r="L46" i="11" s="1"/>
  <c r="I47" i="11"/>
  <c r="I48" i="11"/>
  <c r="I50" i="11"/>
  <c r="I51" i="11"/>
  <c r="I35" i="11"/>
  <c r="I36" i="11"/>
  <c r="I37" i="11"/>
  <c r="I38" i="11"/>
  <c r="I40" i="11"/>
  <c r="I41" i="11"/>
  <c r="I42" i="11"/>
  <c r="I43" i="11"/>
  <c r="L43" i="11" s="1"/>
  <c r="I44" i="11"/>
  <c r="I23" i="11"/>
  <c r="I24" i="11"/>
  <c r="O24" i="11" s="1"/>
  <c r="I25" i="11"/>
  <c r="I26" i="11"/>
  <c r="I28" i="11"/>
  <c r="I29" i="11"/>
  <c r="I30" i="11"/>
  <c r="I31" i="11"/>
  <c r="I32" i="11"/>
  <c r="I33" i="11"/>
  <c r="I34" i="11"/>
  <c r="I22" i="11"/>
  <c r="I21" i="11"/>
  <c r="I20" i="11"/>
  <c r="O20" i="11" s="1"/>
  <c r="I19" i="11"/>
  <c r="I18" i="11"/>
  <c r="O18" i="11" s="1"/>
  <c r="I17" i="11"/>
  <c r="I16" i="11"/>
  <c r="I15" i="11"/>
  <c r="I14" i="11"/>
  <c r="I13" i="11"/>
  <c r="I7" i="11"/>
  <c r="I5" i="11"/>
  <c r="O5" i="11" s="1"/>
  <c r="H10" i="11"/>
  <c r="H62" i="11" s="1"/>
  <c r="L32" i="11" l="1"/>
  <c r="O32" i="11"/>
  <c r="L33" i="11"/>
  <c r="O33" i="11"/>
  <c r="L39" i="11"/>
  <c r="O39" i="11"/>
  <c r="L17" i="11"/>
  <c r="O17" i="11"/>
  <c r="L38" i="11"/>
  <c r="O38" i="11"/>
  <c r="L29" i="11"/>
  <c r="O29" i="11"/>
  <c r="L13" i="11"/>
  <c r="O13" i="11"/>
  <c r="L25" i="11"/>
  <c r="O25" i="11"/>
  <c r="L23" i="11"/>
  <c r="O23" i="11"/>
  <c r="L37" i="11"/>
  <c r="O37" i="11"/>
  <c r="L19" i="11"/>
  <c r="O19" i="11"/>
  <c r="L36" i="11"/>
  <c r="O36" i="11"/>
  <c r="L28" i="11"/>
  <c r="O28" i="11"/>
  <c r="L14" i="11"/>
  <c r="O14" i="11"/>
  <c r="L27" i="11"/>
  <c r="O27" i="11"/>
  <c r="L50" i="11"/>
  <c r="O50" i="11"/>
  <c r="L16" i="11"/>
  <c r="O16" i="11"/>
  <c r="L47" i="11"/>
  <c r="O47" i="11"/>
  <c r="L31" i="11"/>
  <c r="O31" i="11"/>
  <c r="L30" i="11"/>
  <c r="O30" i="11"/>
  <c r="L44" i="11"/>
  <c r="O44" i="11"/>
  <c r="L35" i="11"/>
  <c r="O35" i="11"/>
  <c r="L21" i="11"/>
  <c r="O21" i="11"/>
  <c r="L42" i="11"/>
  <c r="O42" i="11"/>
  <c r="L51" i="11"/>
  <c r="O51" i="11"/>
  <c r="L22" i="11"/>
  <c r="O22" i="11"/>
  <c r="L41" i="11"/>
  <c r="O41" i="11"/>
  <c r="L15" i="11"/>
  <c r="O15" i="11"/>
  <c r="L34" i="11"/>
  <c r="O34" i="11"/>
  <c r="L26" i="11"/>
  <c r="O26" i="11"/>
  <c r="L40" i="11"/>
  <c r="O40" i="11"/>
  <c r="L48" i="11"/>
  <c r="O48" i="11"/>
  <c r="I59" i="11"/>
  <c r="H63" i="11"/>
  <c r="H64" i="11" s="1"/>
  <c r="G66" i="11" l="1"/>
  <c r="C7" i="12" l="1"/>
  <c r="G59" i="11"/>
  <c r="G10" i="11"/>
  <c r="I10" i="11" s="1"/>
  <c r="G62" i="11" l="1"/>
  <c r="C12" i="12" l="1"/>
  <c r="F61" i="11" l="1"/>
  <c r="F59" i="11"/>
  <c r="F55" i="11"/>
  <c r="F54" i="11"/>
  <c r="F53" i="11"/>
  <c r="F10" i="11"/>
  <c r="F62" i="11" s="1"/>
  <c r="G53" i="11" l="1"/>
  <c r="F63" i="11"/>
  <c r="F64" i="11" s="1"/>
  <c r="G63" i="11" l="1"/>
  <c r="G64" i="11" s="1"/>
  <c r="I53" i="11"/>
  <c r="E59" i="11"/>
  <c r="I63" i="11" l="1"/>
  <c r="O53" i="11"/>
  <c r="E10" i="11"/>
  <c r="E62" i="11" s="1"/>
  <c r="E53" i="11" l="1"/>
  <c r="E63" i="11" s="1"/>
  <c r="E64" i="11" s="1"/>
</calcChain>
</file>

<file path=xl/sharedStrings.xml><?xml version="1.0" encoding="utf-8"?>
<sst xmlns="http://schemas.openxmlformats.org/spreadsheetml/2006/main" count="283" uniqueCount="210">
  <si>
    <t>CATEGORY</t>
  </si>
  <si>
    <t>CODE</t>
  </si>
  <si>
    <t>ITEM IN BUDGET</t>
  </si>
  <si>
    <t>Income:</t>
  </si>
  <si>
    <t>INC01</t>
  </si>
  <si>
    <t>Precept </t>
  </si>
  <si>
    <t>INC02</t>
  </si>
  <si>
    <t>Allotments rent</t>
  </si>
  <si>
    <t>INC03</t>
  </si>
  <si>
    <t>Other grants: NHB &amp; CIL</t>
  </si>
  <si>
    <t>INC04</t>
  </si>
  <si>
    <t>Other income</t>
  </si>
  <si>
    <t>Sub-Total</t>
  </si>
  <si>
    <t>Expenditure: revenue</t>
  </si>
  <si>
    <t>Administration</t>
  </si>
  <si>
    <t>ADMIN01</t>
  </si>
  <si>
    <t>Clerk's salary</t>
  </si>
  <si>
    <t>ADMIN02</t>
  </si>
  <si>
    <t>Clerk's overtime</t>
  </si>
  <si>
    <t>ADMIN03</t>
  </si>
  <si>
    <t>RFO's salary</t>
  </si>
  <si>
    <t>ADMIN04</t>
  </si>
  <si>
    <t>Office expenses</t>
  </si>
  <si>
    <t>ADMIN05</t>
  </si>
  <si>
    <t>Insurance</t>
  </si>
  <si>
    <t>ADMIN06</t>
  </si>
  <si>
    <t>Audit fees </t>
  </si>
  <si>
    <t>ADMIN07</t>
  </si>
  <si>
    <t>Bank charges</t>
  </si>
  <si>
    <t>ADMIN08</t>
  </si>
  <si>
    <t>Training</t>
  </si>
  <si>
    <t>Subscriptions</t>
  </si>
  <si>
    <t>SUBS01</t>
  </si>
  <si>
    <t>SUBS02</t>
  </si>
  <si>
    <t>LCB</t>
  </si>
  <si>
    <t>SUBS03</t>
  </si>
  <si>
    <t>SLCC</t>
  </si>
  <si>
    <t>SUBS04</t>
  </si>
  <si>
    <t>Legal costs</t>
  </si>
  <si>
    <t>LEGAL01</t>
  </si>
  <si>
    <t>Communication</t>
  </si>
  <si>
    <t>COMMS01</t>
  </si>
  <si>
    <t>COMMS02</t>
  </si>
  <si>
    <t>Election expenses</t>
  </si>
  <si>
    <t>Memorial Hall</t>
  </si>
  <si>
    <t>MH01</t>
  </si>
  <si>
    <t>Public Works Loan Board</t>
  </si>
  <si>
    <t>MH02</t>
  </si>
  <si>
    <t>Hire of hall</t>
  </si>
  <si>
    <t>Allotments</t>
  </si>
  <si>
    <t>ALL01</t>
  </si>
  <si>
    <t>Allotment rent</t>
  </si>
  <si>
    <t>ALL02</t>
  </si>
  <si>
    <t>ALL03</t>
  </si>
  <si>
    <t>Tree maintenance</t>
  </si>
  <si>
    <t>ALL04</t>
  </si>
  <si>
    <t>General maintenance</t>
  </si>
  <si>
    <t xml:space="preserve">Grounds Maintenance </t>
  </si>
  <si>
    <t>GM01</t>
  </si>
  <si>
    <t>GM02</t>
  </si>
  <si>
    <t>GM03</t>
  </si>
  <si>
    <t>Play equipment inspection</t>
  </si>
  <si>
    <t>GM04</t>
  </si>
  <si>
    <t>Play equipment maintenance</t>
  </si>
  <si>
    <t>GM05</t>
  </si>
  <si>
    <t>GM06</t>
  </si>
  <si>
    <t>GM07</t>
  </si>
  <si>
    <t>Litter bins / grit bins</t>
  </si>
  <si>
    <t>GM08</t>
  </si>
  <si>
    <t>GM09</t>
  </si>
  <si>
    <t>Expenditure: capital</t>
  </si>
  <si>
    <t>(excluding any grant funding)</t>
  </si>
  <si>
    <t>CAP01</t>
  </si>
  <si>
    <t>Car parking survey &amp; planning</t>
  </si>
  <si>
    <t>CAP02</t>
  </si>
  <si>
    <t>CAP03</t>
  </si>
  <si>
    <t>Contingency @ 10% of precept</t>
  </si>
  <si>
    <t>Total Income</t>
  </si>
  <si>
    <t>Total Expenditure (revenue &amp; capital) and Contingency</t>
  </si>
  <si>
    <t>Surplus/Deficit</t>
  </si>
  <si>
    <t>Council Tax Band D</t>
  </si>
  <si>
    <t>WSALC</t>
  </si>
  <si>
    <t>COMMS03</t>
  </si>
  <si>
    <t>ICO Annual Data Fee</t>
  </si>
  <si>
    <t>Website Domain &amp; Email Accounts</t>
  </si>
  <si>
    <t>Tree Inspection</t>
  </si>
  <si>
    <t>Grass cutting - Stedham &amp; Iping</t>
  </si>
  <si>
    <t xml:space="preserve">(including Churches, Common View </t>
  </si>
  <si>
    <t>&amp; Recreation Ground)</t>
  </si>
  <si>
    <t>COMMS04</t>
  </si>
  <si>
    <t>GM10</t>
  </si>
  <si>
    <t>GM11</t>
  </si>
  <si>
    <t>Planning Applications</t>
  </si>
  <si>
    <t>COMMS05</t>
  </si>
  <si>
    <t>Video Conference Application</t>
  </si>
  <si>
    <t>COMMS06</t>
  </si>
  <si>
    <t>Parish Council Events</t>
  </si>
  <si>
    <t>ADMIN09</t>
  </si>
  <si>
    <t>Parish Council Christmas Events</t>
  </si>
  <si>
    <t>Hedge Maintenance</t>
  </si>
  <si>
    <t>General Parish Maintenance (Inc Spring Clean Day)</t>
  </si>
  <si>
    <t>Parish Improvement Projects</t>
  </si>
  <si>
    <t>Community Health &amp; Wellbeing - Playgrounds</t>
  </si>
  <si>
    <t>Newsletter, Other  Communications to all parishioners, eg Covid-letter</t>
  </si>
  <si>
    <t>Brought Forward</t>
  </si>
  <si>
    <t>Carry Forward</t>
  </si>
  <si>
    <t>Other income - VAT126. Insurance Claim</t>
  </si>
  <si>
    <t>Parish Organisation Fund</t>
  </si>
  <si>
    <t>Income - Precept</t>
  </si>
  <si>
    <t>Income - Grants</t>
  </si>
  <si>
    <t>Income - Other</t>
  </si>
  <si>
    <t>Admin - Pay_Exp</t>
  </si>
  <si>
    <t>Admin - General</t>
  </si>
  <si>
    <t>Comms - General</t>
  </si>
  <si>
    <t>Comms - NLetter_Events</t>
  </si>
  <si>
    <t>Maintenance - General</t>
  </si>
  <si>
    <t>Maintenance - Playgrounds</t>
  </si>
  <si>
    <t>Parish Fund</t>
  </si>
  <si>
    <t>Parish Improvements</t>
  </si>
  <si>
    <t>Income_Cost_ Code</t>
  </si>
  <si>
    <t>xx</t>
  </si>
  <si>
    <t>Noticeboard doors/maintenance</t>
  </si>
  <si>
    <t>No increase in Allotment rents</t>
  </si>
  <si>
    <t>Current cash</t>
  </si>
  <si>
    <t>Estimated Income to end Financial year</t>
  </si>
  <si>
    <t>Reclaimed VAT</t>
  </si>
  <si>
    <t>Estimated spend to end Financial year</t>
  </si>
  <si>
    <t>Assume 10% increase</t>
  </si>
  <si>
    <t>10 email Accounts £50 + Annual service charge £480 + 10%</t>
  </si>
  <si>
    <t>Not an election year</t>
  </si>
  <si>
    <t>Code to be removed</t>
  </si>
  <si>
    <t>Code GM02 to be removed &amp; cost inluded in GM06</t>
  </si>
  <si>
    <t>To include information about fund in Newsletter</t>
  </si>
  <si>
    <t>Delete Code</t>
  </si>
  <si>
    <t>2024/25 BUDGET FULL YEAR (Ex VAT)</t>
  </si>
  <si>
    <t>COMMS07</t>
  </si>
  <si>
    <t>Tea Club</t>
  </si>
  <si>
    <t>Budget to remain as is</t>
  </si>
  <si>
    <t>2024/27 3year basis - £803.85.  + Increase to cover new equipment:
Climbing frame - inc 2024/25
Accessible Roundabout - inc 2025/26</t>
  </si>
  <si>
    <t>Inc 2 x cut Christmas trees</t>
  </si>
  <si>
    <t>Cash brought forward from 2023/24</t>
  </si>
  <si>
    <t>£3000 due from CIL Stedham Tel Box improvement</t>
  </si>
  <si>
    <t>Tree &amp; Hedge Maintenance</t>
  </si>
  <si>
    <t>Community Account with charges from 14th January 2025. £4.25/mnth, DD-10p, BACs-7p</t>
  </si>
  <si>
    <t>Allotment water, Maintenance</t>
  </si>
  <si>
    <t>Wild flower planting - phase1</t>
  </si>
  <si>
    <r>
      <t xml:space="preserve">1% increase. </t>
    </r>
    <r>
      <rPr>
        <sz val="11"/>
        <color rgb="FFFF0000"/>
        <rFont val="Arial"/>
        <family val="2"/>
      </rPr>
      <t>Employer NI applicable</t>
    </r>
  </si>
  <si>
    <r>
      <t xml:space="preserve">As for Clerk </t>
    </r>
    <r>
      <rPr>
        <sz val="11"/>
        <color rgb="FFFF0000"/>
        <rFont val="Arial"/>
        <family val="2"/>
      </rPr>
      <t>Employer NI applicable</t>
    </r>
  </si>
  <si>
    <t>ADMIN10</t>
  </si>
  <si>
    <t>Employer National Insurance</t>
  </si>
  <si>
    <t>Threshold reduced from £9100 to £5000</t>
  </si>
  <si>
    <r>
      <t xml:space="preserve">10% of Clerk </t>
    </r>
    <r>
      <rPr>
        <sz val="11"/>
        <color rgb="FFFF0000"/>
        <rFont val="Arial"/>
        <family val="2"/>
      </rPr>
      <t>Employer NI applicable</t>
    </r>
  </si>
  <si>
    <t>Increase from previous year</t>
  </si>
  <si>
    <t>Contingency(10% of Precept):</t>
  </si>
  <si>
    <t>Precept of £26.5k ~ 0.1% change on bill</t>
  </si>
  <si>
    <r>
      <t xml:space="preserve">Comments on 2025/26 Budget Figures 21st November 2024
</t>
    </r>
    <r>
      <rPr>
        <b/>
        <sz val="11"/>
        <color rgb="FFFF0000"/>
        <rFont val="Arial"/>
        <family val="2"/>
      </rPr>
      <t>As reviewed at PC Meeting 09/01/2025</t>
    </r>
    <r>
      <rPr>
        <b/>
        <sz val="11"/>
        <color theme="1"/>
        <rFont val="Arial"/>
        <family val="2"/>
      </rPr>
      <t xml:space="preserve">
 </t>
    </r>
  </si>
  <si>
    <r>
      <t xml:space="preserve">Includes costs for refurbishment of Iping Tel Box. </t>
    </r>
    <r>
      <rPr>
        <i/>
        <sz val="11"/>
        <color rgb="FFFF0000"/>
        <rFont val="Arial"/>
        <family val="2"/>
      </rPr>
      <t>Purchase of AED &amp; Cabinet in 2024/25</t>
    </r>
  </si>
  <si>
    <t xml:space="preserve">2024/25 ACTUAL RECEIPTS &amp; SPEND
(Exc VAT)
</t>
  </si>
  <si>
    <t>2025/26 BUDGET FULL YEAR (Ex VAT)</t>
  </si>
  <si>
    <t>CPR Attendee shortfall Jun25, Mulled wine consumables</t>
  </si>
  <si>
    <t>Iping Bus Shelter Paint</t>
  </si>
  <si>
    <t>Iping Phone Box, AED installation</t>
  </si>
  <si>
    <t>Budget Left 2025/26 
At 10/11/2025</t>
  </si>
  <si>
    <t>2026/27 BUDGET FULL YEAR (DRAFT)</t>
  </si>
  <si>
    <t>Variance (between 2025/26 &amp; 2026/27
(Based on Estimated full spend for 20225/26)</t>
  </si>
  <si>
    <r>
      <t xml:space="preserve"> </t>
    </r>
    <r>
      <rPr>
        <sz val="11"/>
        <color rgb="FF0432FF"/>
        <rFont val="Arial"/>
        <family val="2"/>
      </rPr>
      <t>Water to date = £713
+Skip &amp; Mower repair</t>
    </r>
  </si>
  <si>
    <t>Variance (between 2024/25 &amp; 2025/26
(Based on estimated full spend for 2025/26)</t>
  </si>
  <si>
    <r>
      <t xml:space="preserve">Due Feb26
</t>
    </r>
    <r>
      <rPr>
        <sz val="11"/>
        <color rgb="FF0432FF"/>
        <rFont val="Arial"/>
        <family val="2"/>
      </rPr>
      <t>Estimate £1100-£1200</t>
    </r>
  </si>
  <si>
    <r>
      <rPr>
        <sz val="11"/>
        <color theme="1"/>
        <rFont val="Arial"/>
        <family val="2"/>
      </rPr>
      <t>£50 photo prize</t>
    </r>
    <r>
      <rPr>
        <sz val="11"/>
        <color rgb="FF0432FF"/>
        <rFont val="Arial"/>
        <family val="2"/>
      </rPr>
      <t xml:space="preserve">
N/letter printing costs have reduced</t>
    </r>
  </si>
  <si>
    <t>TBC Nov25</t>
  </si>
  <si>
    <t>Assume 15 meetings @ £40.50</t>
  </si>
  <si>
    <t>1% increase</t>
  </si>
  <si>
    <t>Estimated on last 4year (to date) costs Av - £4140
Suggest 20% increase</t>
  </si>
  <si>
    <t>15% on &gt;£5000</t>
  </si>
  <si>
    <t>10% Clerk
1% increase</t>
  </si>
  <si>
    <t>Election year May27
2023 costs x 10%</t>
  </si>
  <si>
    <t>10 email Accounts £100  + Annual service charge £528 + 10%</t>
  </si>
  <si>
    <t>No increase</t>
  </si>
  <si>
    <r>
      <t xml:space="preserve">Increased from £35 to £40
</t>
    </r>
    <r>
      <rPr>
        <sz val="11"/>
        <color rgb="FF0432FF"/>
        <rFont val="Arial"/>
        <family val="2"/>
      </rPr>
      <t>12m notice should have been given</t>
    </r>
  </si>
  <si>
    <r>
      <t xml:space="preserve">VAT Dec24-Mar25
</t>
    </r>
    <r>
      <rPr>
        <sz val="11"/>
        <color rgb="FF0432FF"/>
        <rFont val="Arial"/>
        <family val="2"/>
      </rPr>
      <t>VAT Apr25-Nov25 ~£1360 (pending)</t>
    </r>
  </si>
  <si>
    <r>
      <t xml:space="preserve">Inc unbudgeted cost to develop Cemetery search function.
</t>
    </r>
    <r>
      <rPr>
        <sz val="11"/>
        <color rgb="FF0432FF"/>
        <rFont val="Arial"/>
        <family val="2"/>
      </rPr>
      <t>Email Account increase from £50 to £100
Domain renewal £125 not budgeted for</t>
    </r>
  </si>
  <si>
    <t>Mar25 to Sep25. Total cuts=7 inc 2 in Apr &amp; 2 in Jun.
9 cuts in 2024-25</t>
  </si>
  <si>
    <t>Hedge &amp; Tree Maintenance
Assume 10%increase</t>
  </si>
  <si>
    <t>Unbudgeted cost of £550 for allotments.
Estimate for parish £1600</t>
  </si>
  <si>
    <t>Assume 20% increase on 25/26 Water cost
Do we need to increase maintenance re tree/bramble clearance or inc. in GM06?</t>
  </si>
  <si>
    <t>Council Tax charge for band D property(Final taxbase due 2nd Dec)</t>
  </si>
  <si>
    <t>2025/26 ACTUAL RECEIPTS &amp; SPEND
(Exc VAT) At 01/12/2025</t>
  </si>
  <si>
    <t>Tea Club Sep25, Mulled Wine sales Oct25. Tombola</t>
  </si>
  <si>
    <r>
      <t xml:space="preserve">Comments on 2025/26  Budget Figures
</t>
    </r>
    <r>
      <rPr>
        <b/>
        <sz val="11"/>
        <color rgb="FF0432FF"/>
        <rFont val="Arial"/>
        <family val="2"/>
      </rPr>
      <t>(Current - 01/12/2025)</t>
    </r>
  </si>
  <si>
    <t>Estimate £200 total</t>
  </si>
  <si>
    <t>VE Day, WI Donation, Grant for AED Light</t>
  </si>
  <si>
    <t>Avg spend Apr-Nov = £15831/8 = £1979
4 x £1979 = £7916</t>
  </si>
  <si>
    <t>Proposed budget for 2026/27 :</t>
  </si>
  <si>
    <t>Expenditure Revenue:</t>
  </si>
  <si>
    <t>Expenditure Capital:</t>
  </si>
  <si>
    <t>Total Expenditure:</t>
  </si>
  <si>
    <t>Deficit:</t>
  </si>
  <si>
    <t>2025/26 Overview</t>
  </si>
  <si>
    <t>Estimated Carry Forward to 2026/27</t>
  </si>
  <si>
    <t>Income to 04/12/25</t>
  </si>
  <si>
    <t>Spend to 04/12/25 exc VAT</t>
  </si>
  <si>
    <t>Spend VAT to 04/12/25</t>
  </si>
  <si>
    <t>Bank balance at 04/12/25 = £23125.40</t>
  </si>
  <si>
    <t>Bank Balance @ 04/12/25 = £23125</t>
  </si>
  <si>
    <r>
      <t xml:space="preserve">Comments on 2026/27 Budget Figures
19th November 2025
</t>
    </r>
    <r>
      <rPr>
        <b/>
        <sz val="11"/>
        <color rgb="FFFF0000"/>
        <rFont val="Arial"/>
        <family val="2"/>
      </rPr>
      <t>At PC meeting 4th December 2025</t>
    </r>
    <r>
      <rPr>
        <b/>
        <sz val="11"/>
        <color theme="1"/>
        <rFont val="Arial"/>
        <family val="2"/>
      </rPr>
      <t xml:space="preserve">
 </t>
    </r>
  </si>
  <si>
    <t>Reduce back to £350 - increase implemented without 12months notice</t>
  </si>
  <si>
    <t>All new Councillors must attend initial Training Course</t>
  </si>
  <si>
    <r>
      <t xml:space="preserve">Council Tax charge for band D property
Taxbase due 02/12/25
</t>
    </r>
    <r>
      <rPr>
        <sz val="12"/>
        <color rgb="FFFF0000"/>
        <rFont val="Calibri (Body)"/>
      </rPr>
      <t>Precept required by 28th January 2026 - PC Meeting 8th January</t>
    </r>
  </si>
  <si>
    <t>Underestimate for 2025-26 + inclusion of Roundabout in Common View</t>
  </si>
  <si>
    <t> Stedham with Iping Parish Council Budgets &amp; Expenditure  1 April 2024 to 31 March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</si>
</sst>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_);[Red]\(&quot;£&quot;#,##0\)"/>
    <numFmt numFmtId="44" formatCode="_(&quot;£&quot;* #,##0.00_);_(&quot;£&quot;* \(#,##0.00\);_(&quot;£&quot;* &quot;-&quot;??_);_(@_)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&quot;£&quot;#,##0.00"/>
    <numFmt numFmtId="167" formatCode="&quot;£&quot;#,##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rgb="FF0000FF"/>
      <name val="Arial"/>
      <family val="2"/>
    </font>
    <font>
      <b/>
      <sz val="14"/>
      <color theme="9"/>
      <name val="Arial"/>
      <family val="2"/>
    </font>
    <font>
      <b/>
      <sz val="14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008000"/>
      <name val="Arial"/>
      <family val="2"/>
    </font>
    <font>
      <b/>
      <sz val="11"/>
      <color rgb="FF000000"/>
      <name val="Arial"/>
      <family val="2"/>
    </font>
    <font>
      <b/>
      <sz val="11"/>
      <color rgb="FF000090"/>
      <name val="Arial"/>
      <family val="2"/>
    </font>
    <font>
      <sz val="8"/>
      <name val="Calibri"/>
      <family val="2"/>
      <scheme val="minor"/>
    </font>
    <font>
      <sz val="14"/>
      <color theme="9"/>
      <name val="Arial"/>
      <family val="2"/>
    </font>
    <font>
      <sz val="14"/>
      <color theme="9" tint="-0.249977111117893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Calibri (Body)"/>
    </font>
    <font>
      <b/>
      <sz val="11"/>
      <color rgb="FFFF0000"/>
      <name val="Arial"/>
      <family val="2"/>
    </font>
    <font>
      <sz val="11"/>
      <color rgb="FF0432FF"/>
      <name val="Arial"/>
      <family val="2"/>
    </font>
    <font>
      <b/>
      <sz val="11"/>
      <color rgb="FF0432FF"/>
      <name val="Arial"/>
      <family val="2"/>
    </font>
    <font>
      <sz val="11"/>
      <color theme="1"/>
      <name val="Calibri (Body)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FF0000"/>
      <name val="Calibri (Body)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7" fillId="0" borderId="0" applyNumberFormat="0" applyFill="0" applyBorder="0" applyProtection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1" fillId="0" borderId="6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6" fillId="0" borderId="6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/>
    </xf>
    <xf numFmtId="167" fontId="6" fillId="0" borderId="6" xfId="0" applyNumberFormat="1" applyFont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167" fontId="5" fillId="0" borderId="1" xfId="0" applyNumberFormat="1" applyFont="1" applyBorder="1" applyAlignment="1">
      <alignment vertical="top" wrapText="1"/>
    </xf>
    <xf numFmtId="0" fontId="12" fillId="0" borderId="6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167" fontId="10" fillId="0" borderId="6" xfId="0" applyNumberFormat="1" applyFont="1" applyBorder="1" applyAlignment="1">
      <alignment horizontal="left" vertical="top"/>
    </xf>
    <xf numFmtId="167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/>
    </xf>
    <xf numFmtId="167" fontId="9" fillId="0" borderId="6" xfId="0" applyNumberFormat="1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3" fillId="0" borderId="6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9" fillId="0" borderId="6" xfId="0" applyFont="1" applyBorder="1" applyAlignment="1">
      <alignment horizontal="left" vertical="top"/>
    </xf>
    <xf numFmtId="167" fontId="9" fillId="0" borderId="6" xfId="0" applyNumberFormat="1" applyFont="1" applyBorder="1" applyAlignment="1">
      <alignment vertical="top"/>
    </xf>
    <xf numFmtId="0" fontId="10" fillId="2" borderId="6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9" fillId="0" borderId="6" xfId="0" applyFont="1" applyBorder="1" applyAlignment="1">
      <alignment vertical="top" wrapText="1"/>
    </xf>
    <xf numFmtId="0" fontId="13" fillId="0" borderId="6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5" fillId="0" borderId="6" xfId="0" applyFont="1" applyBorder="1" applyAlignment="1">
      <alignment vertical="top" wrapText="1"/>
    </xf>
    <xf numFmtId="0" fontId="16" fillId="2" borderId="6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0" fontId="10" fillId="0" borderId="6" xfId="0" applyFont="1" applyBorder="1" applyAlignment="1">
      <alignment horizontal="left" vertical="top"/>
    </xf>
    <xf numFmtId="0" fontId="17" fillId="0" borderId="0" xfId="0" applyFont="1" applyAlignment="1">
      <alignment vertical="top"/>
    </xf>
    <xf numFmtId="0" fontId="0" fillId="0" borderId="0" xfId="0" applyAlignment="1">
      <alignment vertical="top"/>
    </xf>
    <xf numFmtId="167" fontId="9" fillId="0" borderId="0" xfId="0" applyNumberFormat="1" applyFont="1" applyAlignment="1">
      <alignment vertical="top"/>
    </xf>
    <xf numFmtId="0" fontId="6" fillId="3" borderId="1" xfId="0" applyFont="1" applyFill="1" applyBorder="1" applyAlignment="1">
      <alignment vertical="top" wrapText="1"/>
    </xf>
    <xf numFmtId="167" fontId="5" fillId="0" borderId="6" xfId="0" applyNumberFormat="1" applyFont="1" applyBorder="1" applyAlignment="1">
      <alignment vertical="top"/>
    </xf>
    <xf numFmtId="167" fontId="5" fillId="0" borderId="1" xfId="0" applyNumberFormat="1" applyFont="1" applyBorder="1" applyAlignment="1">
      <alignment vertical="top"/>
    </xf>
    <xf numFmtId="167" fontId="5" fillId="0" borderId="0" xfId="0" applyNumberFormat="1" applyFont="1" applyAlignment="1">
      <alignment vertical="top"/>
    </xf>
    <xf numFmtId="0" fontId="9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6" fontId="9" fillId="0" borderId="0" xfId="0" applyNumberFormat="1" applyFont="1" applyAlignment="1">
      <alignment vertical="top" wrapText="1"/>
    </xf>
    <xf numFmtId="6" fontId="5" fillId="2" borderId="1" xfId="0" applyNumberFormat="1" applyFont="1" applyFill="1" applyBorder="1" applyAlignment="1">
      <alignment vertical="top" wrapText="1"/>
    </xf>
    <xf numFmtId="6" fontId="10" fillId="2" borderId="1" xfId="0" applyNumberFormat="1" applyFont="1" applyFill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167" fontId="6" fillId="0" borderId="10" xfId="0" applyNumberFormat="1" applyFont="1" applyBorder="1" applyAlignment="1">
      <alignment vertical="top"/>
    </xf>
    <xf numFmtId="0" fontId="6" fillId="0" borderId="10" xfId="0" applyFont="1" applyBorder="1" applyAlignment="1">
      <alignment horizontal="left" vertical="top"/>
    </xf>
    <xf numFmtId="167" fontId="9" fillId="0" borderId="10" xfId="0" applyNumberFormat="1" applyFont="1" applyBorder="1" applyAlignment="1">
      <alignment horizontal="left" vertical="top"/>
    </xf>
    <xf numFmtId="0" fontId="9" fillId="0" borderId="10" xfId="0" applyFont="1" applyBorder="1" applyAlignment="1">
      <alignment vertical="top" wrapText="1"/>
    </xf>
    <xf numFmtId="0" fontId="9" fillId="0" borderId="10" xfId="0" applyFont="1" applyBorder="1" applyAlignment="1">
      <alignment horizontal="left" vertical="top"/>
    </xf>
    <xf numFmtId="0" fontId="9" fillId="0" borderId="9" xfId="0" applyFont="1" applyBorder="1" applyAlignment="1">
      <alignment horizontal="center" vertical="top"/>
    </xf>
    <xf numFmtId="0" fontId="6" fillId="2" borderId="10" xfId="0" applyFont="1" applyFill="1" applyBorder="1" applyAlignment="1">
      <alignment vertical="top"/>
    </xf>
    <xf numFmtId="0" fontId="19" fillId="0" borderId="10" xfId="0" applyFont="1" applyBorder="1" applyAlignment="1">
      <alignment vertical="top"/>
    </xf>
    <xf numFmtId="0" fontId="9" fillId="2" borderId="10" xfId="0" applyFont="1" applyFill="1" applyBorder="1" applyAlignment="1">
      <alignment vertical="top" wrapText="1"/>
    </xf>
    <xf numFmtId="0" fontId="20" fillId="0" borderId="10" xfId="0" applyFont="1" applyBorder="1" applyAlignment="1">
      <alignment vertical="top"/>
    </xf>
    <xf numFmtId="0" fontId="21" fillId="2" borderId="10" xfId="0" applyFont="1" applyFill="1" applyBorder="1" applyAlignment="1">
      <alignment vertical="top" wrapText="1"/>
    </xf>
    <xf numFmtId="6" fontId="9" fillId="0" borderId="0" xfId="0" applyNumberFormat="1" applyFont="1" applyAlignment="1">
      <alignment vertical="top"/>
    </xf>
    <xf numFmtId="167" fontId="10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167" fontId="17" fillId="0" borderId="7" xfId="0" applyNumberFormat="1" applyFont="1" applyBorder="1" applyAlignment="1">
      <alignment horizontal="right" vertical="top" wrapText="1"/>
    </xf>
    <xf numFmtId="167" fontId="17" fillId="0" borderId="8" xfId="0" applyNumberFormat="1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6" fontId="10" fillId="4" borderId="5" xfId="0" applyNumberFormat="1" applyFont="1" applyFill="1" applyBorder="1" applyAlignment="1">
      <alignment horizontal="center" vertical="top" wrapText="1"/>
    </xf>
    <xf numFmtId="6" fontId="9" fillId="4" borderId="1" xfId="0" applyNumberFormat="1" applyFont="1" applyFill="1" applyBorder="1" applyAlignment="1">
      <alignment vertical="top"/>
    </xf>
    <xf numFmtId="6" fontId="10" fillId="4" borderId="1" xfId="0" applyNumberFormat="1" applyFont="1" applyFill="1" applyBorder="1" applyAlignment="1">
      <alignment vertical="top"/>
    </xf>
    <xf numFmtId="6" fontId="0" fillId="4" borderId="1" xfId="0" applyNumberFormat="1" applyFill="1" applyBorder="1" applyAlignment="1">
      <alignment vertical="top"/>
    </xf>
    <xf numFmtId="6" fontId="2" fillId="4" borderId="1" xfId="0" applyNumberFormat="1" applyFont="1" applyFill="1" applyBorder="1" applyAlignment="1">
      <alignment vertical="top"/>
    </xf>
    <xf numFmtId="6" fontId="10" fillId="2" borderId="1" xfId="0" applyNumberFormat="1" applyFont="1" applyFill="1" applyBorder="1" applyAlignment="1">
      <alignment vertical="top"/>
    </xf>
    <xf numFmtId="6" fontId="9" fillId="2" borderId="1" xfId="0" applyNumberFormat="1" applyFont="1" applyFill="1" applyBorder="1" applyAlignment="1">
      <alignment vertical="top"/>
    </xf>
    <xf numFmtId="6" fontId="17" fillId="2" borderId="12" xfId="0" applyNumberFormat="1" applyFont="1" applyFill="1" applyBorder="1" applyAlignment="1">
      <alignment vertical="top" wrapText="1"/>
    </xf>
    <xf numFmtId="6" fontId="10" fillId="4" borderId="1" xfId="1" applyNumberFormat="1" applyFont="1" applyFill="1" applyBorder="1" applyAlignment="1">
      <alignment horizontal="center" vertical="top" wrapText="1"/>
    </xf>
    <xf numFmtId="6" fontId="5" fillId="4" borderId="1" xfId="0" applyNumberFormat="1" applyFont="1" applyFill="1" applyBorder="1" applyAlignment="1">
      <alignment vertical="top"/>
    </xf>
    <xf numFmtId="6" fontId="6" fillId="4" borderId="1" xfId="0" applyNumberFormat="1" applyFont="1" applyFill="1" applyBorder="1" applyAlignment="1">
      <alignment vertical="top"/>
    </xf>
    <xf numFmtId="0" fontId="22" fillId="0" borderId="0" xfId="0" applyFont="1"/>
    <xf numFmtId="167" fontId="22" fillId="0" borderId="0" xfId="0" applyNumberFormat="1" applyFont="1"/>
    <xf numFmtId="0" fontId="10" fillId="0" borderId="10" xfId="0" applyFont="1" applyBorder="1" applyAlignment="1">
      <alignment horizontal="left" vertical="top"/>
    </xf>
    <xf numFmtId="6" fontId="5" fillId="2" borderId="1" xfId="0" applyNumberFormat="1" applyFont="1" applyFill="1" applyBorder="1" applyAlignment="1">
      <alignment vertical="top"/>
    </xf>
    <xf numFmtId="167" fontId="17" fillId="0" borderId="11" xfId="0" applyNumberFormat="1" applyFont="1" applyBorder="1" applyAlignment="1">
      <alignment horizontal="right" vertical="top" wrapText="1"/>
    </xf>
    <xf numFmtId="0" fontId="10" fillId="2" borderId="1" xfId="0" applyFont="1" applyFill="1" applyBorder="1" applyAlignment="1">
      <alignment horizontal="right" vertical="top"/>
    </xf>
    <xf numFmtId="167" fontId="10" fillId="2" borderId="1" xfId="0" applyNumberFormat="1" applyFont="1" applyFill="1" applyBorder="1" applyAlignment="1">
      <alignment vertical="top"/>
    </xf>
    <xf numFmtId="0" fontId="10" fillId="2" borderId="0" xfId="0" applyFont="1" applyFill="1" applyAlignment="1">
      <alignment vertical="top"/>
    </xf>
    <xf numFmtId="0" fontId="10" fillId="2" borderId="6" xfId="0" applyFont="1" applyFill="1" applyBorder="1" applyAlignment="1">
      <alignment horizontal="right" vertical="top" wrapText="1"/>
    </xf>
    <xf numFmtId="0" fontId="10" fillId="2" borderId="10" xfId="0" applyFont="1" applyFill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166" fontId="10" fillId="0" borderId="13" xfId="0" applyNumberFormat="1" applyFont="1" applyBorder="1" applyAlignment="1">
      <alignment vertical="top"/>
    </xf>
    <xf numFmtId="166" fontId="9" fillId="0" borderId="14" xfId="0" applyNumberFormat="1" applyFont="1" applyBorder="1" applyAlignment="1">
      <alignment vertical="top"/>
    </xf>
    <xf numFmtId="166" fontId="0" fillId="0" borderId="15" xfId="0" applyNumberFormat="1" applyBorder="1" applyAlignment="1">
      <alignment vertical="top"/>
    </xf>
    <xf numFmtId="166" fontId="0" fillId="0" borderId="15" xfId="0" applyNumberFormat="1" applyBorder="1" applyAlignment="1">
      <alignment horizontal="right" vertical="top" wrapText="1"/>
    </xf>
    <xf numFmtId="166" fontId="0" fillId="4" borderId="1" xfId="0" applyNumberFormat="1" applyFill="1" applyBorder="1" applyAlignment="1">
      <alignment vertical="top"/>
    </xf>
    <xf numFmtId="166" fontId="0" fillId="4" borderId="2" xfId="0" applyNumberFormat="1" applyFill="1" applyBorder="1" applyAlignment="1">
      <alignment vertical="top"/>
    </xf>
    <xf numFmtId="166" fontId="0" fillId="0" borderId="0" xfId="0" applyNumberFormat="1" applyAlignment="1">
      <alignment vertical="top"/>
    </xf>
    <xf numFmtId="6" fontId="10" fillId="5" borderId="5" xfId="0" applyNumberFormat="1" applyFont="1" applyFill="1" applyBorder="1" applyAlignment="1">
      <alignment horizontal="center" vertical="top" wrapText="1"/>
    </xf>
    <xf numFmtId="6" fontId="9" fillId="5" borderId="1" xfId="0" applyNumberFormat="1" applyFont="1" applyFill="1" applyBorder="1" applyAlignment="1">
      <alignment vertical="top"/>
    </xf>
    <xf numFmtId="6" fontId="9" fillId="5" borderId="1" xfId="0" applyNumberFormat="1" applyFont="1" applyFill="1" applyBorder="1" applyAlignment="1">
      <alignment vertical="top" wrapText="1"/>
    </xf>
    <xf numFmtId="6" fontId="10" fillId="5" borderId="1" xfId="0" applyNumberFormat="1" applyFont="1" applyFill="1" applyBorder="1" applyAlignment="1">
      <alignment vertical="top"/>
    </xf>
    <xf numFmtId="166" fontId="0" fillId="5" borderId="1" xfId="0" applyNumberFormat="1" applyFill="1" applyBorder="1" applyAlignment="1">
      <alignment vertical="top"/>
    </xf>
    <xf numFmtId="6" fontId="0" fillId="5" borderId="1" xfId="0" applyNumberFormat="1" applyFill="1" applyBorder="1" applyAlignment="1">
      <alignment vertical="top"/>
    </xf>
    <xf numFmtId="6" fontId="2" fillId="5" borderId="1" xfId="0" applyNumberFormat="1" applyFont="1" applyFill="1" applyBorder="1" applyAlignment="1">
      <alignment vertical="top"/>
    </xf>
    <xf numFmtId="166" fontId="2" fillId="5" borderId="1" xfId="0" applyNumberFormat="1" applyFont="1" applyFill="1" applyBorder="1" applyAlignment="1">
      <alignment vertical="top"/>
    </xf>
    <xf numFmtId="0" fontId="22" fillId="0" borderId="1" xfId="0" applyFont="1" applyBorder="1"/>
    <xf numFmtId="167" fontId="22" fillId="0" borderId="1" xfId="0" applyNumberFormat="1" applyFont="1" applyBorder="1"/>
    <xf numFmtId="0" fontId="23" fillId="0" borderId="1" xfId="0" applyFont="1" applyBorder="1"/>
    <xf numFmtId="167" fontId="23" fillId="0" borderId="1" xfId="0" applyNumberFormat="1" applyFont="1" applyBorder="1"/>
    <xf numFmtId="6" fontId="23" fillId="0" borderId="1" xfId="0" applyNumberFormat="1" applyFont="1" applyBorder="1" applyAlignment="1">
      <alignment vertical="top"/>
    </xf>
    <xf numFmtId="6" fontId="3" fillId="5" borderId="1" xfId="0" applyNumberFormat="1" applyFont="1" applyFill="1" applyBorder="1" applyAlignment="1">
      <alignment vertical="top" wrapText="1"/>
    </xf>
    <xf numFmtId="167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6" fontId="3" fillId="4" borderId="1" xfId="0" applyNumberFormat="1" applyFont="1" applyFill="1" applyBorder="1" applyAlignment="1">
      <alignment vertical="top"/>
    </xf>
    <xf numFmtId="10" fontId="0" fillId="5" borderId="1" xfId="0" applyNumberFormat="1" applyFill="1" applyBorder="1" applyAlignment="1">
      <alignment vertical="top"/>
    </xf>
    <xf numFmtId="6" fontId="17" fillId="2" borderId="16" xfId="0" applyNumberFormat="1" applyFont="1" applyFill="1" applyBorder="1" applyAlignment="1">
      <alignment vertical="top" wrapText="1"/>
    </xf>
    <xf numFmtId="6" fontId="10" fillId="5" borderId="1" xfId="0" applyNumberFormat="1" applyFont="1" applyFill="1" applyBorder="1" applyAlignment="1">
      <alignment vertical="top" wrapText="1"/>
    </xf>
    <xf numFmtId="166" fontId="2" fillId="5" borderId="1" xfId="0" applyNumberFormat="1" applyFont="1" applyFill="1" applyBorder="1" applyAlignment="1">
      <alignment vertical="top" wrapText="1"/>
    </xf>
    <xf numFmtId="10" fontId="0" fillId="5" borderId="1" xfId="0" applyNumberFormat="1" applyFill="1" applyBorder="1" applyAlignment="1">
      <alignment vertical="top" wrapText="1"/>
    </xf>
    <xf numFmtId="6" fontId="2" fillId="5" borderId="1" xfId="0" applyNumberFormat="1" applyFont="1" applyFill="1" applyBorder="1" applyAlignment="1">
      <alignment vertical="top" wrapText="1"/>
    </xf>
    <xf numFmtId="6" fontId="10" fillId="6" borderId="5" xfId="0" applyNumberFormat="1" applyFont="1" applyFill="1" applyBorder="1" applyAlignment="1">
      <alignment horizontal="center" vertical="top" wrapText="1"/>
    </xf>
    <xf numFmtId="6" fontId="3" fillId="6" borderId="1" xfId="0" applyNumberFormat="1" applyFont="1" applyFill="1" applyBorder="1" applyAlignment="1">
      <alignment vertical="top" wrapText="1"/>
    </xf>
    <xf numFmtId="6" fontId="9" fillId="6" borderId="1" xfId="0" applyNumberFormat="1" applyFont="1" applyFill="1" applyBorder="1" applyAlignment="1">
      <alignment vertical="top" wrapText="1"/>
    </xf>
    <xf numFmtId="166" fontId="2" fillId="6" borderId="1" xfId="0" applyNumberFormat="1" applyFont="1" applyFill="1" applyBorder="1" applyAlignment="1">
      <alignment vertical="top"/>
    </xf>
    <xf numFmtId="6" fontId="27" fillId="5" borderId="1" xfId="0" applyNumberFormat="1" applyFont="1" applyFill="1" applyBorder="1" applyAlignment="1">
      <alignment vertical="top" wrapText="1"/>
    </xf>
    <xf numFmtId="6" fontId="25" fillId="5" borderId="1" xfId="0" applyNumberFormat="1" applyFont="1" applyFill="1" applyBorder="1" applyAlignment="1">
      <alignment vertical="top" wrapText="1"/>
    </xf>
    <xf numFmtId="6" fontId="10" fillId="6" borderId="1" xfId="0" applyNumberFormat="1" applyFont="1" applyFill="1" applyBorder="1" applyAlignment="1">
      <alignment vertical="top" wrapText="1"/>
    </xf>
    <xf numFmtId="6" fontId="9" fillId="2" borderId="1" xfId="0" applyNumberFormat="1" applyFont="1" applyFill="1" applyBorder="1" applyAlignment="1">
      <alignment vertical="top" wrapText="1"/>
    </xf>
    <xf numFmtId="166" fontId="2" fillId="6" borderId="1" xfId="0" applyNumberFormat="1" applyFont="1" applyFill="1" applyBorder="1" applyAlignment="1">
      <alignment vertical="top" wrapText="1"/>
    </xf>
    <xf numFmtId="6" fontId="25" fillId="6" borderId="1" xfId="0" applyNumberFormat="1" applyFont="1" applyFill="1" applyBorder="1" applyAlignment="1">
      <alignment vertical="top" wrapText="1"/>
    </xf>
    <xf numFmtId="6" fontId="2" fillId="6" borderId="1" xfId="0" applyNumberFormat="1" applyFont="1" applyFill="1" applyBorder="1" applyAlignment="1">
      <alignment vertical="top" wrapText="1"/>
    </xf>
    <xf numFmtId="10" fontId="29" fillId="6" borderId="1" xfId="0" applyNumberFormat="1" applyFont="1" applyFill="1" applyBorder="1" applyAlignment="1">
      <alignment vertical="top" wrapText="1"/>
    </xf>
    <xf numFmtId="0" fontId="30" fillId="0" borderId="1" xfId="0" applyFont="1" applyBorder="1" applyAlignment="1">
      <alignment vertical="top"/>
    </xf>
    <xf numFmtId="0" fontId="0" fillId="0" borderId="1" xfId="0" applyBorder="1"/>
    <xf numFmtId="6" fontId="0" fillId="0" borderId="1" xfId="0" applyNumberFormat="1" applyBorder="1" applyAlignment="1">
      <alignment horizontal="right" vertical="top"/>
    </xf>
    <xf numFmtId="6" fontId="30" fillId="0" borderId="1" xfId="0" applyNumberFormat="1" applyFont="1" applyBorder="1" applyAlignment="1">
      <alignment horizontal="right" vertical="top"/>
    </xf>
    <xf numFmtId="0" fontId="31" fillId="0" borderId="1" xfId="0" applyFont="1" applyBorder="1" applyAlignment="1">
      <alignment vertical="top"/>
    </xf>
    <xf numFmtId="10" fontId="3" fillId="6" borderId="1" xfId="0" applyNumberFormat="1" applyFont="1" applyFill="1" applyBorder="1" applyAlignment="1">
      <alignment vertical="top" wrapText="1"/>
    </xf>
  </cellXfs>
  <cellStyles count="6">
    <cellStyle name="Comma 2" xfId="3" xr:uid="{88D4E69E-3B6D-438E-9426-F436CD04EE93}"/>
    <cellStyle name="Currency" xfId="1" builtinId="4"/>
    <cellStyle name="Currency 2" xfId="5" xr:uid="{F60F07C6-8BB0-4EC9-8701-D3B8ACC45052}"/>
    <cellStyle name="Normal" xfId="0" builtinId="0"/>
    <cellStyle name="Normal 2" xfId="2" xr:uid="{B945340E-E68D-46C4-961A-1801C8B97DC8}"/>
    <cellStyle name="Normal 3" xfId="4" xr:uid="{E5F99404-17F8-4155-8BC3-BE32C1E3439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432FF"/>
      <color rgb="FFCCECFF"/>
      <color rgb="FF00CC00"/>
      <color rgb="FF99FF66"/>
      <color rgb="FFB4C6E7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C12A-F819-4909-BCAD-86A1D00E023E}">
  <sheetPr>
    <pageSetUpPr fitToPage="1"/>
  </sheetPr>
  <dimension ref="A1:P68"/>
  <sheetViews>
    <sheetView showGridLines="0" tabSelected="1" zoomScale="120" zoomScaleNormal="120" workbookViewId="0">
      <pane xSplit="4" ySplit="3" topLeftCell="E4" activePane="bottomRight" state="frozen"/>
      <selection pane="topRight" activeCell="D1" sqref="D1"/>
      <selection pane="bottomLeft" activeCell="A4" sqref="A4"/>
      <selection pane="bottomRight"/>
    </sheetView>
  </sheetViews>
  <sheetFormatPr baseColWidth="10" defaultColWidth="8.6640625" defaultRowHeight="15" x14ac:dyDescent="0.2"/>
  <cols>
    <col min="1" max="1" width="8.83203125" style="46" customWidth="1"/>
    <col min="2" max="2" width="11.6640625" style="46" hidden="1" customWidth="1"/>
    <col min="3" max="3" width="9.6640625" style="46" hidden="1" customWidth="1"/>
    <col min="4" max="4" width="24.5" style="51" customWidth="1"/>
    <col min="5" max="6" width="13.33203125" style="70" customWidth="1"/>
    <col min="7" max="9" width="15.5" style="70" customWidth="1"/>
    <col min="10" max="11" width="22.83203125" style="53" customWidth="1"/>
    <col min="12" max="12" width="14" style="70" customWidth="1"/>
    <col min="13" max="13" width="17.5" style="53" customWidth="1"/>
    <col min="14" max="14" width="19.33203125" style="53" customWidth="1"/>
    <col min="15" max="15" width="11" style="53" customWidth="1"/>
    <col min="17" max="16384" width="8.6640625" style="2"/>
  </cols>
  <sheetData>
    <row r="1" spans="1:15" ht="20" x14ac:dyDescent="0.2">
      <c r="A1" s="1" t="s">
        <v>209</v>
      </c>
      <c r="B1" s="1"/>
      <c r="C1" s="1"/>
    </row>
    <row r="2" spans="1:15" ht="21" thickBot="1" x14ac:dyDescent="0.25">
      <c r="A2" s="2"/>
      <c r="B2" s="2"/>
      <c r="C2" s="1"/>
      <c r="F2" s="3"/>
    </row>
    <row r="3" spans="1:15" s="7" customFormat="1" ht="135" x14ac:dyDescent="0.2">
      <c r="A3" s="4" t="s">
        <v>0</v>
      </c>
      <c r="B3" s="64" t="s">
        <v>119</v>
      </c>
      <c r="C3" s="5" t="s">
        <v>1</v>
      </c>
      <c r="D3" s="6" t="s">
        <v>2</v>
      </c>
      <c r="E3" s="80" t="s">
        <v>134</v>
      </c>
      <c r="F3" s="88" t="s">
        <v>157</v>
      </c>
      <c r="G3" s="109" t="s">
        <v>158</v>
      </c>
      <c r="H3" s="109" t="s">
        <v>186</v>
      </c>
      <c r="I3" s="109" t="s">
        <v>162</v>
      </c>
      <c r="J3" s="109" t="s">
        <v>155</v>
      </c>
      <c r="K3" s="109" t="s">
        <v>188</v>
      </c>
      <c r="L3" s="109" t="s">
        <v>166</v>
      </c>
      <c r="M3" s="132" t="s">
        <v>163</v>
      </c>
      <c r="N3" s="132" t="s">
        <v>204</v>
      </c>
      <c r="O3" s="132" t="s">
        <v>164</v>
      </c>
    </row>
    <row r="4" spans="1:15" ht="38" x14ac:dyDescent="0.2">
      <c r="A4" s="8" t="s">
        <v>3</v>
      </c>
      <c r="B4" s="57"/>
      <c r="C4" s="9"/>
      <c r="D4" s="24"/>
      <c r="E4" s="81"/>
      <c r="F4" s="81"/>
      <c r="G4" s="110"/>
      <c r="H4" s="110"/>
      <c r="I4" s="110"/>
      <c r="J4" s="111"/>
      <c r="K4" s="111"/>
      <c r="L4" s="110"/>
      <c r="M4" s="134"/>
      <c r="N4" s="134"/>
      <c r="O4" s="134"/>
    </row>
    <row r="5" spans="1:15" s="13" customFormat="1" ht="30" x14ac:dyDescent="0.2">
      <c r="A5" s="11"/>
      <c r="B5" s="58" t="s">
        <v>108</v>
      </c>
      <c r="C5" s="12" t="s">
        <v>4</v>
      </c>
      <c r="D5" s="12" t="s">
        <v>5</v>
      </c>
      <c r="E5" s="81">
        <v>25000</v>
      </c>
      <c r="F5" s="90">
        <v>25000</v>
      </c>
      <c r="G5" s="110">
        <v>26500</v>
      </c>
      <c r="H5" s="110">
        <v>26500</v>
      </c>
      <c r="I5" s="110">
        <f>G5-H5</f>
        <v>0</v>
      </c>
      <c r="J5" s="122" t="s">
        <v>154</v>
      </c>
      <c r="K5" s="111"/>
      <c r="L5" s="110">
        <f>F5-H5</f>
        <v>-1500</v>
      </c>
      <c r="M5" s="134">
        <v>27500</v>
      </c>
      <c r="N5" s="149">
        <f>1000/26500</f>
        <v>3.7735849056603772E-2</v>
      </c>
      <c r="O5" s="133">
        <f>H5+I5-M5</f>
        <v>-1000</v>
      </c>
    </row>
    <row r="6" spans="1:15" s="13" customFormat="1" ht="60" x14ac:dyDescent="0.2">
      <c r="A6" s="14"/>
      <c r="B6" s="59" t="s">
        <v>110</v>
      </c>
      <c r="C6" s="12" t="s">
        <v>6</v>
      </c>
      <c r="D6" s="12" t="s">
        <v>7</v>
      </c>
      <c r="E6" s="81">
        <v>350</v>
      </c>
      <c r="F6" s="90">
        <v>350</v>
      </c>
      <c r="G6" s="110">
        <v>350</v>
      </c>
      <c r="H6" s="110">
        <v>400</v>
      </c>
      <c r="I6" s="110">
        <v>0</v>
      </c>
      <c r="J6" s="111" t="s">
        <v>122</v>
      </c>
      <c r="K6" s="111" t="s">
        <v>178</v>
      </c>
      <c r="L6" s="110">
        <f t="shared" ref="L6" si="0">F6-H6</f>
        <v>-50</v>
      </c>
      <c r="M6" s="134">
        <v>350</v>
      </c>
      <c r="N6" s="133" t="s">
        <v>205</v>
      </c>
      <c r="O6" s="133">
        <f>H6+I6-M6</f>
        <v>50</v>
      </c>
    </row>
    <row r="7" spans="1:15" s="13" customFormat="1" ht="45" x14ac:dyDescent="0.2">
      <c r="A7" s="14"/>
      <c r="B7" s="59" t="s">
        <v>109</v>
      </c>
      <c r="C7" s="12" t="s">
        <v>8</v>
      </c>
      <c r="D7" s="12" t="s">
        <v>9</v>
      </c>
      <c r="E7" s="81"/>
      <c r="F7" s="90">
        <v>11000</v>
      </c>
      <c r="G7" s="110"/>
      <c r="H7" s="110"/>
      <c r="I7" s="110">
        <f t="shared" ref="I7" si="1">G7-H7</f>
        <v>0</v>
      </c>
      <c r="J7" s="111" t="s">
        <v>141</v>
      </c>
      <c r="K7" s="111"/>
      <c r="L7" s="110"/>
      <c r="M7" s="134"/>
      <c r="N7" s="134"/>
      <c r="O7" s="134"/>
    </row>
    <row r="8" spans="1:15" s="13" customFormat="1" ht="45" x14ac:dyDescent="0.2">
      <c r="A8" s="14"/>
      <c r="B8" s="59" t="s">
        <v>110</v>
      </c>
      <c r="C8" s="12" t="s">
        <v>10</v>
      </c>
      <c r="D8" s="12" t="s">
        <v>11</v>
      </c>
      <c r="E8" s="81"/>
      <c r="F8" s="90">
        <v>842.51</v>
      </c>
      <c r="G8" s="111"/>
      <c r="H8" s="111">
        <v>386</v>
      </c>
      <c r="I8" s="110">
        <v>0</v>
      </c>
      <c r="J8" s="111"/>
      <c r="K8" s="111" t="s">
        <v>187</v>
      </c>
      <c r="L8" s="110"/>
      <c r="M8" s="134"/>
      <c r="N8" s="134"/>
      <c r="O8" s="134"/>
    </row>
    <row r="9" spans="1:15" s="13" customFormat="1" ht="45" x14ac:dyDescent="0.2">
      <c r="A9" s="14"/>
      <c r="B9" s="59" t="s">
        <v>110</v>
      </c>
      <c r="C9" s="12" t="s">
        <v>10</v>
      </c>
      <c r="D9" s="12" t="s">
        <v>106</v>
      </c>
      <c r="E9" s="81"/>
      <c r="F9" s="90">
        <v>5326.01</v>
      </c>
      <c r="G9" s="110"/>
      <c r="H9" s="110">
        <v>729.88</v>
      </c>
      <c r="I9" s="110">
        <v>0</v>
      </c>
      <c r="J9" s="111"/>
      <c r="K9" s="111" t="s">
        <v>179</v>
      </c>
      <c r="L9" s="110"/>
      <c r="M9" s="134"/>
      <c r="N9" s="134"/>
      <c r="O9" s="134"/>
    </row>
    <row r="10" spans="1:15" s="18" customFormat="1" x14ac:dyDescent="0.2">
      <c r="A10" s="15"/>
      <c r="B10" s="65" t="s">
        <v>120</v>
      </c>
      <c r="C10" s="16"/>
      <c r="D10" s="17" t="s">
        <v>12</v>
      </c>
      <c r="E10" s="54">
        <f t="shared" ref="E10:F10" si="2">SUM(E5:E9)</f>
        <v>25350</v>
      </c>
      <c r="F10" s="54">
        <f t="shared" si="2"/>
        <v>42518.520000000004</v>
      </c>
      <c r="G10" s="85">
        <f>SUM(G5:G9)</f>
        <v>26850</v>
      </c>
      <c r="H10" s="85">
        <f>SUM(H5:H9)</f>
        <v>28015.88</v>
      </c>
      <c r="I10" s="85">
        <f>G10-H10</f>
        <v>-1165.880000000001</v>
      </c>
      <c r="J10" s="55"/>
      <c r="K10" s="55"/>
      <c r="L10" s="85"/>
      <c r="M10" s="55">
        <f>SUM(M5:M9)</f>
        <v>27850</v>
      </c>
      <c r="N10" s="55"/>
      <c r="O10" s="55"/>
    </row>
    <row r="11" spans="1:15" s="50" customFormat="1" ht="14" x14ac:dyDescent="0.2">
      <c r="A11" s="48"/>
      <c r="B11" s="59" t="s">
        <v>120</v>
      </c>
      <c r="C11" s="49"/>
      <c r="D11" s="19"/>
      <c r="E11" s="82"/>
      <c r="F11" s="89"/>
      <c r="G11" s="112"/>
      <c r="H11" s="112"/>
      <c r="I11" s="112"/>
      <c r="J11" s="128"/>
      <c r="K11" s="128"/>
      <c r="L11" s="112"/>
      <c r="M11" s="138"/>
      <c r="N11" s="138"/>
      <c r="O11" s="138"/>
    </row>
    <row r="12" spans="1:15" ht="18" x14ac:dyDescent="0.2">
      <c r="A12" s="20" t="s">
        <v>13</v>
      </c>
      <c r="B12" s="66"/>
      <c r="C12" s="21"/>
      <c r="D12" s="24"/>
      <c r="E12" s="81"/>
      <c r="F12" s="81"/>
      <c r="G12" s="110"/>
      <c r="H12" s="110"/>
      <c r="I12" s="110"/>
      <c r="J12" s="111"/>
      <c r="K12" s="111"/>
      <c r="L12" s="110"/>
      <c r="M12" s="134"/>
      <c r="N12" s="134"/>
      <c r="O12" s="134"/>
    </row>
    <row r="13" spans="1:15" s="13" customFormat="1" ht="30" x14ac:dyDescent="0.2">
      <c r="A13" s="22" t="s">
        <v>14</v>
      </c>
      <c r="B13" s="61" t="s">
        <v>111</v>
      </c>
      <c r="C13" s="23" t="s">
        <v>15</v>
      </c>
      <c r="D13" s="24" t="s">
        <v>16</v>
      </c>
      <c r="E13" s="81">
        <v>4368</v>
      </c>
      <c r="F13" s="90">
        <v>4368</v>
      </c>
      <c r="G13" s="111">
        <v>4411.68</v>
      </c>
      <c r="H13" s="111">
        <v>2573.48</v>
      </c>
      <c r="I13" s="110">
        <f t="shared" ref="I13:I53" si="3">G13-H13</f>
        <v>1838.2000000000003</v>
      </c>
      <c r="J13" s="111" t="s">
        <v>146</v>
      </c>
      <c r="K13" s="111"/>
      <c r="L13" s="110">
        <f>F13-H13-I13</f>
        <v>-43.680000000000291</v>
      </c>
      <c r="M13" s="134">
        <f>G13*1.01</f>
        <v>4455.7968000000001</v>
      </c>
      <c r="N13" s="134" t="s">
        <v>171</v>
      </c>
      <c r="O13" s="133">
        <f>H13+I13-M13</f>
        <v>-44.116799999999785</v>
      </c>
    </row>
    <row r="14" spans="1:15" s="13" customFormat="1" ht="30" x14ac:dyDescent="0.2">
      <c r="A14" s="25"/>
      <c r="B14" s="61" t="s">
        <v>111</v>
      </c>
      <c r="C14" s="23" t="s">
        <v>17</v>
      </c>
      <c r="D14" s="24" t="s">
        <v>18</v>
      </c>
      <c r="E14" s="81">
        <v>436.8</v>
      </c>
      <c r="F14" s="90"/>
      <c r="G14" s="111">
        <v>441.16800000000006</v>
      </c>
      <c r="H14" s="111"/>
      <c r="I14" s="110">
        <f t="shared" si="3"/>
        <v>441.16800000000006</v>
      </c>
      <c r="J14" s="111" t="s">
        <v>151</v>
      </c>
      <c r="K14" s="111"/>
      <c r="L14" s="110">
        <f t="shared" ref="L14:L51" si="4">F14-H14-I14</f>
        <v>-441.16800000000006</v>
      </c>
      <c r="M14" s="134">
        <f t="shared" ref="M14:M15" si="5">G14*1.01</f>
        <v>445.57968000000005</v>
      </c>
      <c r="N14" s="134" t="s">
        <v>174</v>
      </c>
      <c r="O14" s="133">
        <f t="shared" ref="O14:O51" si="6">H14+I14-M14</f>
        <v>-4.4116799999999898</v>
      </c>
    </row>
    <row r="15" spans="1:15" ht="30" x14ac:dyDescent="0.2">
      <c r="A15" s="26"/>
      <c r="B15" s="61" t="s">
        <v>111</v>
      </c>
      <c r="C15" s="23" t="s">
        <v>19</v>
      </c>
      <c r="D15" s="12" t="s">
        <v>20</v>
      </c>
      <c r="E15" s="81">
        <v>1872</v>
      </c>
      <c r="F15" s="90">
        <v>1872</v>
      </c>
      <c r="G15" s="111">
        <v>1890.72</v>
      </c>
      <c r="H15" s="111">
        <v>1102.92</v>
      </c>
      <c r="I15" s="110">
        <f t="shared" si="3"/>
        <v>787.8</v>
      </c>
      <c r="J15" s="111" t="s">
        <v>147</v>
      </c>
      <c r="K15" s="111"/>
      <c r="L15" s="110">
        <f t="shared" si="4"/>
        <v>-18.720000000000027</v>
      </c>
      <c r="M15" s="134">
        <f t="shared" si="5"/>
        <v>1909.6272000000001</v>
      </c>
      <c r="N15" s="134" t="s">
        <v>171</v>
      </c>
      <c r="O15" s="133">
        <f t="shared" si="6"/>
        <v>-18.907200000000103</v>
      </c>
    </row>
    <row r="16" spans="1:15" ht="30" x14ac:dyDescent="0.2">
      <c r="A16" s="26"/>
      <c r="B16" s="61"/>
      <c r="C16" s="123" t="s">
        <v>148</v>
      </c>
      <c r="D16" s="124" t="s">
        <v>149</v>
      </c>
      <c r="E16" s="125"/>
      <c r="F16" s="125"/>
      <c r="G16" s="122">
        <v>261.53520000000003</v>
      </c>
      <c r="H16" s="122">
        <v>112.83</v>
      </c>
      <c r="I16" s="110">
        <f t="shared" si="3"/>
        <v>148.70520000000005</v>
      </c>
      <c r="J16" s="122" t="s">
        <v>150</v>
      </c>
      <c r="K16" s="136" t="s">
        <v>189</v>
      </c>
      <c r="L16" s="110">
        <f t="shared" si="4"/>
        <v>-261.53520000000003</v>
      </c>
      <c r="M16" s="134">
        <f>(SUM(M13:M15)-5000)*0.15</f>
        <v>271.65055199999995</v>
      </c>
      <c r="N16" s="134" t="s">
        <v>173</v>
      </c>
      <c r="O16" s="133">
        <f t="shared" si="6"/>
        <v>-10.115351999999916</v>
      </c>
    </row>
    <row r="17" spans="1:15" x14ac:dyDescent="0.2">
      <c r="A17" s="26"/>
      <c r="B17" s="61" t="s">
        <v>111</v>
      </c>
      <c r="C17" s="23" t="s">
        <v>21</v>
      </c>
      <c r="D17" s="24" t="s">
        <v>22</v>
      </c>
      <c r="E17" s="81">
        <v>500</v>
      </c>
      <c r="F17" s="90">
        <v>284.06999999999994</v>
      </c>
      <c r="G17" s="111">
        <v>500</v>
      </c>
      <c r="H17" s="111">
        <v>456.95</v>
      </c>
      <c r="I17" s="110">
        <f t="shared" si="3"/>
        <v>43.050000000000011</v>
      </c>
      <c r="J17" s="111"/>
      <c r="K17" s="111"/>
      <c r="L17" s="110">
        <f t="shared" si="4"/>
        <v>-215.93000000000006</v>
      </c>
      <c r="M17" s="134">
        <v>500</v>
      </c>
      <c r="N17" s="134"/>
      <c r="O17" s="133">
        <f t="shared" si="6"/>
        <v>0</v>
      </c>
    </row>
    <row r="18" spans="1:15" x14ac:dyDescent="0.2">
      <c r="A18" s="26"/>
      <c r="B18" s="61" t="s">
        <v>112</v>
      </c>
      <c r="C18" s="23" t="s">
        <v>23</v>
      </c>
      <c r="D18" s="24" t="s">
        <v>83</v>
      </c>
      <c r="E18" s="81">
        <v>38.5</v>
      </c>
      <c r="F18" s="90">
        <v>35</v>
      </c>
      <c r="G18" s="110">
        <v>38.5</v>
      </c>
      <c r="H18" s="110">
        <v>47</v>
      </c>
      <c r="I18" s="110">
        <f t="shared" si="3"/>
        <v>-8.5</v>
      </c>
      <c r="J18" s="111" t="s">
        <v>127</v>
      </c>
      <c r="K18" s="111"/>
      <c r="L18" s="110">
        <f>F18-H18</f>
        <v>-12</v>
      </c>
      <c r="M18" s="134">
        <v>47</v>
      </c>
      <c r="N18" s="134"/>
      <c r="O18" s="133">
        <f t="shared" si="6"/>
        <v>-8.5</v>
      </c>
    </row>
    <row r="19" spans="1:15" ht="105" x14ac:dyDescent="0.2">
      <c r="A19" s="26"/>
      <c r="B19" s="61" t="s">
        <v>112</v>
      </c>
      <c r="C19" s="23" t="s">
        <v>25</v>
      </c>
      <c r="D19" s="24" t="s">
        <v>24</v>
      </c>
      <c r="E19" s="81">
        <v>875</v>
      </c>
      <c r="F19" s="90">
        <v>1085.67</v>
      </c>
      <c r="G19" s="110">
        <v>900</v>
      </c>
      <c r="H19" s="110"/>
      <c r="I19" s="110">
        <f t="shared" si="3"/>
        <v>900</v>
      </c>
      <c r="J19" s="111" t="s">
        <v>138</v>
      </c>
      <c r="K19" s="111" t="s">
        <v>167</v>
      </c>
      <c r="L19" s="110">
        <f t="shared" si="4"/>
        <v>185.67000000000007</v>
      </c>
      <c r="M19" s="134">
        <v>1200</v>
      </c>
      <c r="N19" s="133" t="s">
        <v>208</v>
      </c>
      <c r="O19" s="133">
        <f t="shared" si="6"/>
        <v>-300</v>
      </c>
    </row>
    <row r="20" spans="1:15" ht="30" x14ac:dyDescent="0.2">
      <c r="A20" s="26"/>
      <c r="B20" s="61" t="s">
        <v>112</v>
      </c>
      <c r="C20" s="23" t="s">
        <v>27</v>
      </c>
      <c r="D20" s="24" t="s">
        <v>26</v>
      </c>
      <c r="E20" s="81">
        <v>577.5</v>
      </c>
      <c r="F20" s="90">
        <v>453.75</v>
      </c>
      <c r="G20" s="110">
        <v>499.12500000000006</v>
      </c>
      <c r="H20" s="110">
        <v>437.5</v>
      </c>
      <c r="I20" s="110">
        <f t="shared" si="3"/>
        <v>61.625000000000057</v>
      </c>
      <c r="J20" s="111" t="s">
        <v>127</v>
      </c>
      <c r="K20" s="111"/>
      <c r="L20" s="110">
        <f>F20-H20</f>
        <v>16.25</v>
      </c>
      <c r="M20" s="134">
        <f>H20*1.1</f>
        <v>481.25000000000006</v>
      </c>
      <c r="N20" s="134" t="s">
        <v>127</v>
      </c>
      <c r="O20" s="133">
        <f>H20+I20-M20</f>
        <v>17.875</v>
      </c>
    </row>
    <row r="21" spans="1:15" ht="75" x14ac:dyDescent="0.2">
      <c r="A21" s="26"/>
      <c r="B21" s="61" t="s">
        <v>112</v>
      </c>
      <c r="C21" s="23" t="s">
        <v>29</v>
      </c>
      <c r="D21" s="24" t="s">
        <v>28</v>
      </c>
      <c r="E21" s="81">
        <v>0</v>
      </c>
      <c r="F21" s="90">
        <v>4.25</v>
      </c>
      <c r="G21" s="110">
        <v>75</v>
      </c>
      <c r="H21" s="110">
        <v>34</v>
      </c>
      <c r="I21" s="110">
        <f t="shared" si="3"/>
        <v>41</v>
      </c>
      <c r="J21" s="122" t="s">
        <v>143</v>
      </c>
      <c r="K21" s="111"/>
      <c r="L21" s="110">
        <f t="shared" si="4"/>
        <v>-70.75</v>
      </c>
      <c r="M21" s="134">
        <v>75</v>
      </c>
      <c r="N21" s="133"/>
      <c r="O21" s="133">
        <f t="shared" si="6"/>
        <v>0</v>
      </c>
    </row>
    <row r="22" spans="1:15" ht="45" x14ac:dyDescent="0.2">
      <c r="A22" s="22"/>
      <c r="B22" s="61" t="s">
        <v>112</v>
      </c>
      <c r="C22" s="23" t="s">
        <v>97</v>
      </c>
      <c r="D22" s="24" t="s">
        <v>30</v>
      </c>
      <c r="E22" s="81">
        <v>250</v>
      </c>
      <c r="F22" s="90"/>
      <c r="G22" s="110">
        <v>250</v>
      </c>
      <c r="H22" s="110">
        <v>15</v>
      </c>
      <c r="I22" s="110">
        <f t="shared" si="3"/>
        <v>235</v>
      </c>
      <c r="J22" s="111" t="s">
        <v>137</v>
      </c>
      <c r="K22" s="111"/>
      <c r="L22" s="110">
        <f t="shared" si="4"/>
        <v>-250</v>
      </c>
      <c r="M22" s="134">
        <v>250</v>
      </c>
      <c r="N22" s="133" t="s">
        <v>206</v>
      </c>
      <c r="O22" s="133">
        <f t="shared" si="6"/>
        <v>0</v>
      </c>
    </row>
    <row r="23" spans="1:15" ht="30" x14ac:dyDescent="0.2">
      <c r="A23" s="22" t="s">
        <v>49</v>
      </c>
      <c r="B23" s="61" t="s">
        <v>49</v>
      </c>
      <c r="C23" s="23" t="s">
        <v>50</v>
      </c>
      <c r="D23" s="24" t="s">
        <v>51</v>
      </c>
      <c r="E23" s="81">
        <v>400</v>
      </c>
      <c r="F23" s="90">
        <v>400</v>
      </c>
      <c r="G23" s="110">
        <v>400</v>
      </c>
      <c r="H23" s="110">
        <v>400</v>
      </c>
      <c r="I23" s="110">
        <f t="shared" si="3"/>
        <v>0</v>
      </c>
      <c r="J23" s="111"/>
      <c r="K23" s="111"/>
      <c r="L23" s="110">
        <f t="shared" si="4"/>
        <v>0</v>
      </c>
      <c r="M23" s="134">
        <f>H23*1.1</f>
        <v>440.00000000000006</v>
      </c>
      <c r="N23" s="134" t="s">
        <v>127</v>
      </c>
      <c r="O23" s="133">
        <f t="shared" si="6"/>
        <v>-40.000000000000057</v>
      </c>
    </row>
    <row r="24" spans="1:15" ht="120" x14ac:dyDescent="0.2">
      <c r="A24" s="26"/>
      <c r="B24" s="61" t="s">
        <v>49</v>
      </c>
      <c r="C24" s="23" t="s">
        <v>52</v>
      </c>
      <c r="D24" s="24" t="s">
        <v>144</v>
      </c>
      <c r="E24" s="81">
        <v>310.21466666666669</v>
      </c>
      <c r="F24" s="90">
        <v>269.86</v>
      </c>
      <c r="G24" s="110">
        <v>372.26200000000006</v>
      </c>
      <c r="H24" s="110">
        <v>1276.01</v>
      </c>
      <c r="I24" s="110">
        <f t="shared" si="3"/>
        <v>-903.74799999999993</v>
      </c>
      <c r="J24" s="111"/>
      <c r="K24" s="111" t="s">
        <v>165</v>
      </c>
      <c r="L24" s="110">
        <f>F24-H24</f>
        <v>-1006.15</v>
      </c>
      <c r="M24" s="134">
        <v>600</v>
      </c>
      <c r="N24" s="134" t="s">
        <v>184</v>
      </c>
      <c r="O24" s="133">
        <f t="shared" si="6"/>
        <v>-227.73799999999994</v>
      </c>
    </row>
    <row r="25" spans="1:15" x14ac:dyDescent="0.2">
      <c r="A25" s="29"/>
      <c r="B25" s="61" t="s">
        <v>49</v>
      </c>
      <c r="C25" s="10" t="s">
        <v>53</v>
      </c>
      <c r="D25" s="24" t="s">
        <v>54</v>
      </c>
      <c r="E25" s="81"/>
      <c r="F25" s="90"/>
      <c r="G25" s="110">
        <v>0</v>
      </c>
      <c r="H25" s="110"/>
      <c r="I25" s="110">
        <f t="shared" si="3"/>
        <v>0</v>
      </c>
      <c r="J25" s="111" t="s">
        <v>130</v>
      </c>
      <c r="K25" s="111"/>
      <c r="L25" s="110">
        <f t="shared" si="4"/>
        <v>0</v>
      </c>
      <c r="M25" s="134"/>
      <c r="N25" s="134"/>
      <c r="O25" s="133">
        <f t="shared" si="6"/>
        <v>0</v>
      </c>
    </row>
    <row r="26" spans="1:15" x14ac:dyDescent="0.2">
      <c r="A26" s="29"/>
      <c r="B26" s="61" t="s">
        <v>49</v>
      </c>
      <c r="C26" s="10" t="s">
        <v>55</v>
      </c>
      <c r="D26" s="24" t="s">
        <v>56</v>
      </c>
      <c r="E26" s="81"/>
      <c r="F26" s="90"/>
      <c r="G26" s="110">
        <v>0</v>
      </c>
      <c r="H26" s="110"/>
      <c r="I26" s="110">
        <f t="shared" si="3"/>
        <v>0</v>
      </c>
      <c r="J26" s="111" t="s">
        <v>130</v>
      </c>
      <c r="K26" s="111"/>
      <c r="L26" s="110">
        <f t="shared" si="4"/>
        <v>0</v>
      </c>
      <c r="M26" s="134"/>
      <c r="N26" s="134"/>
      <c r="O26" s="133">
        <f t="shared" si="6"/>
        <v>0</v>
      </c>
    </row>
    <row r="27" spans="1:15" s="13" customFormat="1" ht="105" x14ac:dyDescent="0.2">
      <c r="A27" s="27" t="s">
        <v>40</v>
      </c>
      <c r="B27" s="60" t="s">
        <v>113</v>
      </c>
      <c r="C27" s="28" t="s">
        <v>41</v>
      </c>
      <c r="D27" s="47" t="s">
        <v>84</v>
      </c>
      <c r="E27" s="81">
        <v>583</v>
      </c>
      <c r="F27" s="90">
        <v>530</v>
      </c>
      <c r="G27" s="111">
        <v>583</v>
      </c>
      <c r="H27" s="111">
        <v>905</v>
      </c>
      <c r="I27" s="110">
        <f t="shared" si="3"/>
        <v>-322</v>
      </c>
      <c r="J27" s="111" t="s">
        <v>128</v>
      </c>
      <c r="K27" s="111" t="s">
        <v>180</v>
      </c>
      <c r="L27" s="110">
        <f t="shared" si="4"/>
        <v>-53</v>
      </c>
      <c r="M27" s="134">
        <f>(480+100)*1.1</f>
        <v>638</v>
      </c>
      <c r="N27" s="134" t="s">
        <v>176</v>
      </c>
      <c r="O27" s="133">
        <f t="shared" si="6"/>
        <v>-55</v>
      </c>
    </row>
    <row r="28" spans="1:15" ht="30" x14ac:dyDescent="0.2">
      <c r="A28" s="25"/>
      <c r="B28" s="60" t="s">
        <v>113</v>
      </c>
      <c r="C28" s="28" t="s">
        <v>42</v>
      </c>
      <c r="D28" s="12" t="s">
        <v>43</v>
      </c>
      <c r="E28" s="81">
        <v>0</v>
      </c>
      <c r="F28" s="90"/>
      <c r="G28" s="110">
        <v>0</v>
      </c>
      <c r="H28" s="110"/>
      <c r="I28" s="110">
        <f t="shared" si="3"/>
        <v>0</v>
      </c>
      <c r="J28" s="111" t="s">
        <v>129</v>
      </c>
      <c r="K28" s="111"/>
      <c r="L28" s="110">
        <f t="shared" si="4"/>
        <v>0</v>
      </c>
      <c r="M28" s="134">
        <v>690</v>
      </c>
      <c r="N28" s="134" t="s">
        <v>175</v>
      </c>
      <c r="O28" s="133">
        <f t="shared" si="6"/>
        <v>-690</v>
      </c>
    </row>
    <row r="29" spans="1:15" ht="45" x14ac:dyDescent="0.2">
      <c r="A29" s="32"/>
      <c r="B29" s="60" t="s">
        <v>114</v>
      </c>
      <c r="C29" s="10" t="s">
        <v>82</v>
      </c>
      <c r="D29" s="24" t="s">
        <v>103</v>
      </c>
      <c r="E29" s="81">
        <v>1172</v>
      </c>
      <c r="F29" s="90">
        <v>889.6</v>
      </c>
      <c r="G29" s="110">
        <v>1332.76</v>
      </c>
      <c r="H29" s="110">
        <v>453.71000000000004</v>
      </c>
      <c r="I29" s="110">
        <f t="shared" si="3"/>
        <v>879.05</v>
      </c>
      <c r="J29" s="111" t="s">
        <v>127</v>
      </c>
      <c r="K29" s="136" t="s">
        <v>168</v>
      </c>
      <c r="L29" s="110">
        <f t="shared" si="4"/>
        <v>-443.15999999999997</v>
      </c>
      <c r="M29" s="134">
        <v>1333</v>
      </c>
      <c r="N29" s="134" t="s">
        <v>177</v>
      </c>
      <c r="O29" s="133">
        <f t="shared" si="6"/>
        <v>-0.24000000000000909</v>
      </c>
    </row>
    <row r="30" spans="1:15" ht="30" x14ac:dyDescent="0.2">
      <c r="A30" s="32"/>
      <c r="B30" s="60" t="s">
        <v>113</v>
      </c>
      <c r="C30" s="10" t="s">
        <v>89</v>
      </c>
      <c r="D30" s="24" t="s">
        <v>94</v>
      </c>
      <c r="E30" s="81">
        <v>0</v>
      </c>
      <c r="F30" s="90"/>
      <c r="G30" s="110">
        <v>0</v>
      </c>
      <c r="H30" s="110"/>
      <c r="I30" s="110">
        <f t="shared" si="3"/>
        <v>0</v>
      </c>
      <c r="J30" s="111"/>
      <c r="K30" s="111"/>
      <c r="L30" s="110">
        <f t="shared" si="4"/>
        <v>0</v>
      </c>
      <c r="M30" s="134"/>
      <c r="N30" s="134"/>
      <c r="O30" s="133">
        <f t="shared" si="6"/>
        <v>0</v>
      </c>
    </row>
    <row r="31" spans="1:15" ht="30" x14ac:dyDescent="0.2">
      <c r="A31" s="32"/>
      <c r="B31" s="60" t="s">
        <v>114</v>
      </c>
      <c r="C31" s="10" t="s">
        <v>93</v>
      </c>
      <c r="D31" s="24" t="s">
        <v>98</v>
      </c>
      <c r="E31" s="81">
        <v>300</v>
      </c>
      <c r="F31" s="90">
        <v>349.81</v>
      </c>
      <c r="G31" s="110">
        <v>384.79100000000005</v>
      </c>
      <c r="H31" s="110">
        <v>313.77</v>
      </c>
      <c r="I31" s="110">
        <f t="shared" si="3"/>
        <v>71.021000000000072</v>
      </c>
      <c r="J31" s="111" t="s">
        <v>139</v>
      </c>
      <c r="K31" s="111"/>
      <c r="L31" s="110">
        <f t="shared" si="4"/>
        <v>-34.981000000000051</v>
      </c>
      <c r="M31" s="134">
        <f>G31*1.1</f>
        <v>423.27010000000007</v>
      </c>
      <c r="N31" s="134" t="s">
        <v>127</v>
      </c>
      <c r="O31" s="133">
        <f t="shared" si="6"/>
        <v>-38.479100000000017</v>
      </c>
    </row>
    <row r="32" spans="1:15" s="30" customFormat="1" ht="45" x14ac:dyDescent="0.2">
      <c r="A32" s="32"/>
      <c r="B32" s="60" t="s">
        <v>114</v>
      </c>
      <c r="C32" s="10" t="s">
        <v>95</v>
      </c>
      <c r="D32" s="24" t="s">
        <v>96</v>
      </c>
      <c r="E32" s="81">
        <v>900</v>
      </c>
      <c r="F32" s="90">
        <v>447.18999999999994</v>
      </c>
      <c r="G32" s="111">
        <v>990.00000000000011</v>
      </c>
      <c r="H32" s="111">
        <v>345.82</v>
      </c>
      <c r="I32" s="110">
        <f t="shared" si="3"/>
        <v>644.18000000000006</v>
      </c>
      <c r="J32" s="111" t="s">
        <v>127</v>
      </c>
      <c r="K32" s="111" t="s">
        <v>159</v>
      </c>
      <c r="L32" s="110">
        <f t="shared" si="4"/>
        <v>-542.81000000000017</v>
      </c>
      <c r="M32" s="134">
        <v>990</v>
      </c>
      <c r="N32" s="134" t="s">
        <v>177</v>
      </c>
      <c r="O32" s="133">
        <f t="shared" si="6"/>
        <v>0</v>
      </c>
    </row>
    <row r="33" spans="1:15" s="30" customFormat="1" x14ac:dyDescent="0.2">
      <c r="A33" s="32"/>
      <c r="B33" s="60" t="s">
        <v>114</v>
      </c>
      <c r="C33" s="10" t="s">
        <v>135</v>
      </c>
      <c r="D33" s="24" t="s">
        <v>136</v>
      </c>
      <c r="E33" s="81">
        <v>600</v>
      </c>
      <c r="F33" s="90">
        <v>508.43</v>
      </c>
      <c r="G33" s="111">
        <v>660</v>
      </c>
      <c r="H33" s="111">
        <v>92.63</v>
      </c>
      <c r="I33" s="110">
        <f t="shared" si="3"/>
        <v>567.37</v>
      </c>
      <c r="J33" s="111" t="s">
        <v>127</v>
      </c>
      <c r="K33" s="111"/>
      <c r="L33" s="110">
        <f t="shared" si="4"/>
        <v>-151.57</v>
      </c>
      <c r="M33" s="134"/>
      <c r="N33" s="134"/>
      <c r="O33" s="133">
        <f t="shared" si="6"/>
        <v>660</v>
      </c>
    </row>
    <row r="34" spans="1:15" s="30" customFormat="1" ht="60" x14ac:dyDescent="0.2">
      <c r="A34" s="22" t="s">
        <v>57</v>
      </c>
      <c r="B34" s="61" t="s">
        <v>115</v>
      </c>
      <c r="C34" s="10" t="s">
        <v>58</v>
      </c>
      <c r="D34" s="24" t="s">
        <v>86</v>
      </c>
      <c r="E34" s="81">
        <v>5000</v>
      </c>
      <c r="F34" s="90">
        <v>5413.76</v>
      </c>
      <c r="G34" s="110">
        <v>6000</v>
      </c>
      <c r="H34" s="110">
        <v>4390.8</v>
      </c>
      <c r="I34" s="110">
        <f t="shared" si="3"/>
        <v>1609.1999999999998</v>
      </c>
      <c r="J34" s="111" t="s">
        <v>172</v>
      </c>
      <c r="K34" s="136" t="s">
        <v>181</v>
      </c>
      <c r="L34" s="110">
        <f t="shared" si="4"/>
        <v>-586.23999999999978</v>
      </c>
      <c r="M34" s="134">
        <f>G34*1.1</f>
        <v>6600.0000000000009</v>
      </c>
      <c r="N34" s="134" t="s">
        <v>127</v>
      </c>
      <c r="O34" s="133">
        <f t="shared" si="6"/>
        <v>-600.00000000000091</v>
      </c>
    </row>
    <row r="35" spans="1:15" s="30" customFormat="1" ht="45" x14ac:dyDescent="0.2">
      <c r="A35" s="25" t="s">
        <v>87</v>
      </c>
      <c r="B35" s="61" t="s">
        <v>115</v>
      </c>
      <c r="C35" s="10" t="s">
        <v>59</v>
      </c>
      <c r="D35" s="24" t="s">
        <v>99</v>
      </c>
      <c r="E35" s="81">
        <v>0</v>
      </c>
      <c r="F35" s="90"/>
      <c r="G35" s="110">
        <v>0</v>
      </c>
      <c r="H35" s="110"/>
      <c r="I35" s="110">
        <f t="shared" si="3"/>
        <v>0</v>
      </c>
      <c r="J35" s="111" t="s">
        <v>131</v>
      </c>
      <c r="K35" s="111"/>
      <c r="L35" s="110">
        <f t="shared" si="4"/>
        <v>0</v>
      </c>
      <c r="M35" s="134"/>
      <c r="N35" s="134" t="s">
        <v>131</v>
      </c>
      <c r="O35" s="133">
        <f t="shared" si="6"/>
        <v>0</v>
      </c>
    </row>
    <row r="36" spans="1:15" s="30" customFormat="1" ht="30" x14ac:dyDescent="0.2">
      <c r="A36" s="31" t="s">
        <v>88</v>
      </c>
      <c r="B36" s="61" t="s">
        <v>116</v>
      </c>
      <c r="C36" s="10" t="s">
        <v>60</v>
      </c>
      <c r="D36" s="24" t="s">
        <v>61</v>
      </c>
      <c r="E36" s="81">
        <v>330</v>
      </c>
      <c r="F36" s="90">
        <v>336</v>
      </c>
      <c r="G36" s="110">
        <v>363.00000000000006</v>
      </c>
      <c r="H36" s="110"/>
      <c r="I36" s="110">
        <f t="shared" si="3"/>
        <v>363.00000000000006</v>
      </c>
      <c r="J36" s="111" t="s">
        <v>127</v>
      </c>
      <c r="K36" s="136" t="s">
        <v>169</v>
      </c>
      <c r="L36" s="110">
        <f t="shared" si="4"/>
        <v>-27.000000000000057</v>
      </c>
      <c r="M36" s="134">
        <f>G36*1.1</f>
        <v>399.30000000000007</v>
      </c>
      <c r="N36" s="134" t="s">
        <v>127</v>
      </c>
      <c r="O36" s="133">
        <f t="shared" si="6"/>
        <v>-36.300000000000011</v>
      </c>
    </row>
    <row r="37" spans="1:15" ht="30" x14ac:dyDescent="0.2">
      <c r="A37" s="26"/>
      <c r="B37" s="61" t="s">
        <v>116</v>
      </c>
      <c r="C37" s="10" t="s">
        <v>62</v>
      </c>
      <c r="D37" s="24" t="s">
        <v>63</v>
      </c>
      <c r="E37" s="81">
        <v>330</v>
      </c>
      <c r="F37" s="90"/>
      <c r="G37" s="110">
        <v>363.00000000000006</v>
      </c>
      <c r="H37" s="110"/>
      <c r="I37" s="110">
        <f t="shared" si="3"/>
        <v>363.00000000000006</v>
      </c>
      <c r="J37" s="111" t="s">
        <v>127</v>
      </c>
      <c r="K37" s="111"/>
      <c r="L37" s="110">
        <f t="shared" si="4"/>
        <v>-363.00000000000006</v>
      </c>
      <c r="M37" s="134">
        <f>G37*1.1</f>
        <v>399.30000000000007</v>
      </c>
      <c r="N37" s="134" t="s">
        <v>127</v>
      </c>
      <c r="O37" s="133">
        <f t="shared" si="6"/>
        <v>-36.300000000000011</v>
      </c>
    </row>
    <row r="38" spans="1:15" s="13" customFormat="1" x14ac:dyDescent="0.2">
      <c r="A38" s="26"/>
      <c r="B38" s="61" t="s">
        <v>115</v>
      </c>
      <c r="C38" s="10" t="s">
        <v>64</v>
      </c>
      <c r="D38" s="24" t="s">
        <v>85</v>
      </c>
      <c r="E38" s="81">
        <v>0</v>
      </c>
      <c r="F38" s="90"/>
      <c r="G38" s="110">
        <v>0</v>
      </c>
      <c r="H38" s="110"/>
      <c r="I38" s="110">
        <f t="shared" si="3"/>
        <v>0</v>
      </c>
      <c r="J38" s="111"/>
      <c r="K38" s="111"/>
      <c r="L38" s="110">
        <f t="shared" si="4"/>
        <v>0</v>
      </c>
      <c r="M38" s="134"/>
      <c r="N38" s="134"/>
      <c r="O38" s="133">
        <f t="shared" si="6"/>
        <v>0</v>
      </c>
    </row>
    <row r="39" spans="1:15" ht="45" x14ac:dyDescent="0.2">
      <c r="A39" s="26"/>
      <c r="B39" s="61" t="s">
        <v>115</v>
      </c>
      <c r="C39" s="10" t="s">
        <v>65</v>
      </c>
      <c r="D39" s="24" t="s">
        <v>142</v>
      </c>
      <c r="E39" s="81">
        <v>1500</v>
      </c>
      <c r="F39" s="90">
        <v>1480</v>
      </c>
      <c r="G39" s="110">
        <v>1650.0000000000002</v>
      </c>
      <c r="H39" s="110">
        <v>2150</v>
      </c>
      <c r="I39" s="110">
        <f t="shared" si="3"/>
        <v>-499.99999999999977</v>
      </c>
      <c r="J39" s="111" t="s">
        <v>182</v>
      </c>
      <c r="K39" s="136" t="s">
        <v>183</v>
      </c>
      <c r="L39" s="110">
        <f t="shared" si="4"/>
        <v>-170.00000000000023</v>
      </c>
      <c r="M39" s="134">
        <f>G39*1.1</f>
        <v>1815.0000000000005</v>
      </c>
      <c r="N39" s="134" t="s">
        <v>127</v>
      </c>
      <c r="O39" s="133">
        <f t="shared" si="6"/>
        <v>-165.00000000000023</v>
      </c>
    </row>
    <row r="40" spans="1:15" ht="30" x14ac:dyDescent="0.2">
      <c r="A40" s="26"/>
      <c r="B40" s="61" t="s">
        <v>115</v>
      </c>
      <c r="C40" s="10" t="s">
        <v>66</v>
      </c>
      <c r="D40" s="24" t="s">
        <v>145</v>
      </c>
      <c r="E40" s="81">
        <v>200</v>
      </c>
      <c r="F40" s="90">
        <v>38.4</v>
      </c>
      <c r="G40" s="110">
        <v>200</v>
      </c>
      <c r="H40" s="110"/>
      <c r="I40" s="110">
        <f t="shared" si="3"/>
        <v>200</v>
      </c>
      <c r="J40" s="111"/>
      <c r="K40" s="111"/>
      <c r="L40" s="110">
        <f t="shared" si="4"/>
        <v>-161.6</v>
      </c>
      <c r="M40" s="134">
        <f>G40*1.1</f>
        <v>220.00000000000003</v>
      </c>
      <c r="N40" s="134" t="s">
        <v>127</v>
      </c>
      <c r="O40" s="133">
        <f t="shared" si="6"/>
        <v>-20.000000000000028</v>
      </c>
    </row>
    <row r="41" spans="1:15" ht="30" x14ac:dyDescent="0.2">
      <c r="A41" s="25"/>
      <c r="B41" s="61" t="s">
        <v>115</v>
      </c>
      <c r="C41" s="10" t="s">
        <v>68</v>
      </c>
      <c r="D41" s="24" t="s">
        <v>67</v>
      </c>
      <c r="E41" s="81">
        <v>440.00000000000006</v>
      </c>
      <c r="F41" s="90">
        <v>395.2</v>
      </c>
      <c r="G41" s="110">
        <v>484.00000000000011</v>
      </c>
      <c r="H41" s="110"/>
      <c r="I41" s="110">
        <f t="shared" si="3"/>
        <v>484.00000000000011</v>
      </c>
      <c r="J41" s="111" t="s">
        <v>127</v>
      </c>
      <c r="K41" s="111"/>
      <c r="L41" s="110">
        <f t="shared" si="4"/>
        <v>-88.800000000000125</v>
      </c>
      <c r="M41" s="134">
        <f>G41*1.1</f>
        <v>532.4000000000002</v>
      </c>
      <c r="N41" s="134" t="s">
        <v>127</v>
      </c>
      <c r="O41" s="133">
        <f t="shared" si="6"/>
        <v>-48.400000000000091</v>
      </c>
    </row>
    <row r="42" spans="1:15" ht="30" x14ac:dyDescent="0.2">
      <c r="A42" s="32"/>
      <c r="B42" s="61" t="s">
        <v>115</v>
      </c>
      <c r="C42" s="10" t="s">
        <v>69</v>
      </c>
      <c r="D42" s="24" t="s">
        <v>100</v>
      </c>
      <c r="E42" s="81">
        <v>250</v>
      </c>
      <c r="F42" s="90">
        <v>242.22</v>
      </c>
      <c r="G42" s="110">
        <v>250</v>
      </c>
      <c r="H42" s="110">
        <v>150.02000000000001</v>
      </c>
      <c r="I42" s="110">
        <f t="shared" si="3"/>
        <v>99.97999999999999</v>
      </c>
      <c r="J42" s="111"/>
      <c r="K42" s="111" t="s">
        <v>160</v>
      </c>
      <c r="L42" s="110">
        <f t="shared" si="4"/>
        <v>-7.7800000000000011</v>
      </c>
      <c r="M42" s="134">
        <f>G42*1.1</f>
        <v>275</v>
      </c>
      <c r="N42" s="134" t="s">
        <v>127</v>
      </c>
      <c r="O42" s="133">
        <f t="shared" si="6"/>
        <v>-25</v>
      </c>
    </row>
    <row r="43" spans="1:15" x14ac:dyDescent="0.2">
      <c r="A43" s="32"/>
      <c r="B43" s="61" t="s">
        <v>115</v>
      </c>
      <c r="C43" s="10" t="s">
        <v>90</v>
      </c>
      <c r="D43" s="24" t="s">
        <v>92</v>
      </c>
      <c r="E43" s="81"/>
      <c r="F43" s="90"/>
      <c r="G43" s="110"/>
      <c r="H43" s="110"/>
      <c r="I43" s="110">
        <f t="shared" si="3"/>
        <v>0</v>
      </c>
      <c r="J43" s="111"/>
      <c r="K43" s="111"/>
      <c r="L43" s="110">
        <f t="shared" si="4"/>
        <v>0</v>
      </c>
      <c r="M43" s="134">
        <v>0</v>
      </c>
      <c r="N43" s="134"/>
      <c r="O43" s="133"/>
    </row>
    <row r="44" spans="1:15" s="13" customFormat="1" ht="60" x14ac:dyDescent="0.2">
      <c r="A44" s="32"/>
      <c r="B44" s="61" t="s">
        <v>118</v>
      </c>
      <c r="C44" s="10" t="s">
        <v>91</v>
      </c>
      <c r="D44" s="24" t="s">
        <v>101</v>
      </c>
      <c r="E44" s="81">
        <v>5000</v>
      </c>
      <c r="F44" s="90">
        <v>3917.1899999999996</v>
      </c>
      <c r="G44" s="111">
        <v>6000</v>
      </c>
      <c r="H44" s="111">
        <v>2008.5</v>
      </c>
      <c r="I44" s="110">
        <f t="shared" si="3"/>
        <v>3991.5</v>
      </c>
      <c r="J44" s="111" t="s">
        <v>156</v>
      </c>
      <c r="K44" s="111" t="s">
        <v>161</v>
      </c>
      <c r="L44" s="110">
        <f t="shared" si="4"/>
        <v>-2082.8100000000004</v>
      </c>
      <c r="M44" s="134">
        <v>6000</v>
      </c>
      <c r="N44" s="134" t="s">
        <v>177</v>
      </c>
      <c r="O44" s="133">
        <f t="shared" si="6"/>
        <v>0</v>
      </c>
    </row>
    <row r="45" spans="1:15" x14ac:dyDescent="0.2">
      <c r="A45" s="27" t="s">
        <v>38</v>
      </c>
      <c r="B45" s="61" t="s">
        <v>112</v>
      </c>
      <c r="C45" s="28" t="s">
        <v>39</v>
      </c>
      <c r="D45" s="12" t="s">
        <v>38</v>
      </c>
      <c r="E45" s="81">
        <v>0</v>
      </c>
      <c r="F45" s="90"/>
      <c r="G45" s="110">
        <v>0</v>
      </c>
      <c r="H45" s="110"/>
      <c r="I45" s="110">
        <f t="shared" si="3"/>
        <v>0</v>
      </c>
      <c r="J45" s="111"/>
      <c r="K45" s="111"/>
      <c r="L45" s="110">
        <f t="shared" si="4"/>
        <v>0</v>
      </c>
      <c r="M45" s="134">
        <v>0</v>
      </c>
      <c r="N45" s="134"/>
      <c r="O45" s="133"/>
    </row>
    <row r="46" spans="1:15" x14ac:dyDescent="0.2">
      <c r="A46" s="22" t="s">
        <v>44</v>
      </c>
      <c r="B46" s="61" t="s">
        <v>112</v>
      </c>
      <c r="C46" s="23" t="s">
        <v>45</v>
      </c>
      <c r="D46" s="24" t="s">
        <v>46</v>
      </c>
      <c r="E46" s="81">
        <v>0</v>
      </c>
      <c r="F46" s="90"/>
      <c r="G46" s="110">
        <v>0</v>
      </c>
      <c r="H46" s="110"/>
      <c r="I46" s="110">
        <f t="shared" si="3"/>
        <v>0</v>
      </c>
      <c r="J46" s="111"/>
      <c r="K46" s="111"/>
      <c r="L46" s="110">
        <f t="shared" si="4"/>
        <v>0</v>
      </c>
      <c r="M46" s="134">
        <v>0</v>
      </c>
      <c r="N46" s="134"/>
      <c r="O46" s="133"/>
    </row>
    <row r="47" spans="1:15" ht="30" x14ac:dyDescent="0.2">
      <c r="A47" s="26"/>
      <c r="B47" s="61" t="s">
        <v>112</v>
      </c>
      <c r="C47" s="23" t="s">
        <v>47</v>
      </c>
      <c r="D47" s="24" t="s">
        <v>48</v>
      </c>
      <c r="E47" s="81">
        <v>505</v>
      </c>
      <c r="F47" s="90">
        <v>469.5</v>
      </c>
      <c r="G47" s="110">
        <v>607.5</v>
      </c>
      <c r="H47" s="110"/>
      <c r="I47" s="110">
        <f t="shared" si="3"/>
        <v>607.5</v>
      </c>
      <c r="J47" s="111" t="s">
        <v>170</v>
      </c>
      <c r="K47" s="111"/>
      <c r="L47" s="110">
        <f t="shared" si="4"/>
        <v>-138</v>
      </c>
      <c r="M47" s="134">
        <f>G47*1.1</f>
        <v>668.25</v>
      </c>
      <c r="N47" s="134" t="s">
        <v>127</v>
      </c>
      <c r="O47" s="133">
        <f t="shared" si="6"/>
        <v>-60.75</v>
      </c>
    </row>
    <row r="48" spans="1:15" ht="30" x14ac:dyDescent="0.2">
      <c r="A48" s="22" t="s">
        <v>31</v>
      </c>
      <c r="B48" s="61" t="s">
        <v>31</v>
      </c>
      <c r="C48" s="23" t="s">
        <v>32</v>
      </c>
      <c r="D48" s="24" t="s">
        <v>81</v>
      </c>
      <c r="E48" s="81">
        <v>330</v>
      </c>
      <c r="F48" s="90">
        <v>306.89</v>
      </c>
      <c r="G48" s="110">
        <v>363.00000000000006</v>
      </c>
      <c r="H48" s="110">
        <v>314.7</v>
      </c>
      <c r="I48" s="110">
        <f t="shared" si="3"/>
        <v>48.300000000000068</v>
      </c>
      <c r="J48" s="111" t="s">
        <v>127</v>
      </c>
      <c r="K48" s="111"/>
      <c r="L48" s="110">
        <f t="shared" si="4"/>
        <v>-56.11000000000007</v>
      </c>
      <c r="M48" s="134">
        <f t="shared" ref="M48:M50" si="7">G48*1.1</f>
        <v>399.30000000000007</v>
      </c>
      <c r="N48" s="134" t="s">
        <v>127</v>
      </c>
      <c r="O48" s="133">
        <f t="shared" si="6"/>
        <v>-36.300000000000011</v>
      </c>
    </row>
    <row r="49" spans="1:15" x14ac:dyDescent="0.2">
      <c r="A49" s="26"/>
      <c r="B49" s="61" t="s">
        <v>31</v>
      </c>
      <c r="C49" s="23" t="s">
        <v>33</v>
      </c>
      <c r="D49" s="24" t="s">
        <v>34</v>
      </c>
      <c r="E49" s="81">
        <v>0</v>
      </c>
      <c r="F49" s="90">
        <v>0</v>
      </c>
      <c r="G49" s="110"/>
      <c r="H49" s="110"/>
      <c r="I49" s="110"/>
      <c r="J49" s="111" t="s">
        <v>133</v>
      </c>
      <c r="K49" s="111"/>
      <c r="L49" s="110">
        <f t="shared" si="4"/>
        <v>0</v>
      </c>
      <c r="M49" s="134">
        <f t="shared" si="7"/>
        <v>0</v>
      </c>
      <c r="N49" s="134"/>
      <c r="O49" s="133">
        <f t="shared" si="6"/>
        <v>0</v>
      </c>
    </row>
    <row r="50" spans="1:15" ht="30" x14ac:dyDescent="0.2">
      <c r="A50" s="26"/>
      <c r="B50" s="61" t="s">
        <v>31</v>
      </c>
      <c r="C50" s="23" t="s">
        <v>35</v>
      </c>
      <c r="D50" s="24" t="s">
        <v>36</v>
      </c>
      <c r="E50" s="81">
        <v>125</v>
      </c>
      <c r="F50" s="90">
        <v>112</v>
      </c>
      <c r="G50" s="110">
        <v>137.5</v>
      </c>
      <c r="H50" s="110">
        <v>150</v>
      </c>
      <c r="I50" s="110">
        <f t="shared" si="3"/>
        <v>-12.5</v>
      </c>
      <c r="J50" s="111" t="s">
        <v>127</v>
      </c>
      <c r="K50" s="111"/>
      <c r="L50" s="110">
        <f t="shared" si="4"/>
        <v>-25.5</v>
      </c>
      <c r="M50" s="134">
        <f t="shared" si="7"/>
        <v>151.25</v>
      </c>
      <c r="N50" s="134" t="s">
        <v>127</v>
      </c>
      <c r="O50" s="133">
        <f t="shared" si="6"/>
        <v>-13.75</v>
      </c>
    </row>
    <row r="51" spans="1:15" ht="30" x14ac:dyDescent="0.2">
      <c r="A51" s="26"/>
      <c r="B51" s="61" t="s">
        <v>117</v>
      </c>
      <c r="C51" s="23" t="s">
        <v>37</v>
      </c>
      <c r="D51" s="24" t="s">
        <v>107</v>
      </c>
      <c r="E51" s="81">
        <v>500</v>
      </c>
      <c r="F51" s="90">
        <v>620.82999999999993</v>
      </c>
      <c r="G51" s="111">
        <v>500</v>
      </c>
      <c r="H51" s="110">
        <v>250</v>
      </c>
      <c r="I51" s="110">
        <f t="shared" si="3"/>
        <v>250</v>
      </c>
      <c r="J51" s="111" t="s">
        <v>132</v>
      </c>
      <c r="K51" s="111" t="s">
        <v>190</v>
      </c>
      <c r="L51" s="110">
        <f t="shared" si="4"/>
        <v>120.82999999999993</v>
      </c>
      <c r="M51" s="134">
        <f t="shared" ref="M51" si="8">G51*1.1</f>
        <v>550</v>
      </c>
      <c r="N51" s="134" t="s">
        <v>127</v>
      </c>
      <c r="O51" s="133">
        <f t="shared" si="6"/>
        <v>-50</v>
      </c>
    </row>
    <row r="52" spans="1:15" x14ac:dyDescent="0.2">
      <c r="A52" s="26"/>
      <c r="B52" s="61"/>
      <c r="C52" s="23"/>
      <c r="D52" s="24"/>
      <c r="E52" s="81"/>
      <c r="F52" s="90"/>
      <c r="G52" s="110"/>
      <c r="H52" s="110"/>
      <c r="I52" s="110"/>
      <c r="J52" s="111"/>
      <c r="K52" s="111"/>
      <c r="L52" s="110"/>
      <c r="M52" s="134"/>
      <c r="N52" s="134"/>
      <c r="O52" s="134"/>
    </row>
    <row r="53" spans="1:15" s="35" customFormat="1" x14ac:dyDescent="0.2">
      <c r="A53" s="33"/>
      <c r="B53" s="67" t="s">
        <v>120</v>
      </c>
      <c r="C53" s="34"/>
      <c r="D53" s="34" t="s">
        <v>12</v>
      </c>
      <c r="E53" s="55">
        <f t="shared" ref="E53:F53" si="9">SUM(E13:E52)</f>
        <v>27693.014666666666</v>
      </c>
      <c r="F53" s="55">
        <f t="shared" si="9"/>
        <v>24829.620000000003</v>
      </c>
      <c r="G53" s="55">
        <f>SUM(G13:G52)</f>
        <v>30908.5412</v>
      </c>
      <c r="H53" s="55">
        <f>SUM(H13:H52)</f>
        <v>17980.64</v>
      </c>
      <c r="I53" s="85">
        <f t="shared" si="3"/>
        <v>12927.9012</v>
      </c>
      <c r="J53" s="55"/>
      <c r="K53" s="55"/>
      <c r="L53" s="86"/>
      <c r="M53" s="55">
        <f>SUM(M13:M52)</f>
        <v>32759.974332000002</v>
      </c>
      <c r="N53" s="139"/>
      <c r="O53" s="55">
        <f>H53+I53-M53</f>
        <v>-1851.4331320000019</v>
      </c>
    </row>
    <row r="54" spans="1:15" x14ac:dyDescent="0.2">
      <c r="A54" s="36"/>
      <c r="B54" s="62" t="s">
        <v>120</v>
      </c>
      <c r="C54" s="24"/>
      <c r="D54" s="24"/>
      <c r="E54" s="81"/>
      <c r="F54" s="90" t="str">
        <f>IF(E54="","",IF(E54&gt;100%,"Check",""))</f>
        <v/>
      </c>
      <c r="G54" s="110"/>
      <c r="H54" s="110"/>
      <c r="I54" s="110"/>
      <c r="J54" s="111"/>
      <c r="K54" s="111"/>
      <c r="L54" s="110"/>
      <c r="M54" s="134"/>
      <c r="N54" s="134"/>
      <c r="O54" s="134"/>
    </row>
    <row r="55" spans="1:15" s="39" customFormat="1" ht="18" x14ac:dyDescent="0.2">
      <c r="A55" s="37" t="s">
        <v>70</v>
      </c>
      <c r="B55" s="68" t="s">
        <v>120</v>
      </c>
      <c r="C55" s="38"/>
      <c r="D55" s="52"/>
      <c r="E55" s="82"/>
      <c r="F55" s="90" t="str">
        <f>IF(E55="","",IF(E55&gt;100%,"Check",""))</f>
        <v/>
      </c>
      <c r="G55" s="112"/>
      <c r="H55" s="112"/>
      <c r="I55" s="112"/>
      <c r="J55" s="128"/>
      <c r="K55" s="128"/>
      <c r="L55" s="112"/>
      <c r="M55" s="138"/>
      <c r="N55" s="138"/>
      <c r="O55" s="138"/>
    </row>
    <row r="56" spans="1:15" ht="60" x14ac:dyDescent="0.2">
      <c r="A56" s="40" t="s">
        <v>71</v>
      </c>
      <c r="B56" s="61" t="s">
        <v>118</v>
      </c>
      <c r="C56" s="24" t="s">
        <v>72</v>
      </c>
      <c r="D56" s="24" t="s">
        <v>73</v>
      </c>
      <c r="E56" s="81">
        <v>0</v>
      </c>
      <c r="F56" s="90"/>
      <c r="G56" s="110">
        <v>0</v>
      </c>
      <c r="H56" s="110">
        <v>0</v>
      </c>
      <c r="I56" s="110">
        <f t="shared" ref="I56:I58" si="10">G56-H56</f>
        <v>0</v>
      </c>
      <c r="J56" s="111"/>
      <c r="K56" s="111"/>
      <c r="L56" s="110"/>
      <c r="M56" s="134">
        <v>0</v>
      </c>
      <c r="N56" s="134"/>
      <c r="O56" s="134"/>
    </row>
    <row r="57" spans="1:15" ht="30" x14ac:dyDescent="0.2">
      <c r="A57" s="32"/>
      <c r="B57" s="61" t="s">
        <v>118</v>
      </c>
      <c r="C57" s="24" t="s">
        <v>74</v>
      </c>
      <c r="D57" s="24" t="s">
        <v>102</v>
      </c>
      <c r="E57" s="81">
        <v>0</v>
      </c>
      <c r="F57" s="90">
        <v>15929</v>
      </c>
      <c r="G57" s="110">
        <v>0</v>
      </c>
      <c r="H57" s="110">
        <v>0</v>
      </c>
      <c r="I57" s="110">
        <f t="shared" si="10"/>
        <v>0</v>
      </c>
      <c r="J57" s="111"/>
      <c r="K57" s="111"/>
      <c r="L57" s="110"/>
      <c r="M57" s="134">
        <v>0</v>
      </c>
      <c r="N57" s="134"/>
      <c r="O57" s="134"/>
    </row>
    <row r="58" spans="1:15" ht="30" x14ac:dyDescent="0.2">
      <c r="A58" s="32"/>
      <c r="B58" s="61" t="s">
        <v>115</v>
      </c>
      <c r="C58" s="24" t="s">
        <v>75</v>
      </c>
      <c r="D58" s="24" t="s">
        <v>121</v>
      </c>
      <c r="E58" s="81">
        <v>0</v>
      </c>
      <c r="F58" s="90"/>
      <c r="G58" s="110">
        <v>0</v>
      </c>
      <c r="H58" s="110">
        <v>0</v>
      </c>
      <c r="I58" s="110">
        <f t="shared" si="10"/>
        <v>0</v>
      </c>
      <c r="J58" s="111"/>
      <c r="K58" s="111"/>
      <c r="L58" s="110"/>
      <c r="M58" s="134">
        <v>0</v>
      </c>
      <c r="N58" s="134"/>
      <c r="O58" s="134"/>
    </row>
    <row r="59" spans="1:15" s="35" customFormat="1" x14ac:dyDescent="0.2">
      <c r="A59" s="41"/>
      <c r="B59" s="69"/>
      <c r="C59" s="42"/>
      <c r="D59" s="34" t="s">
        <v>12</v>
      </c>
      <c r="E59" s="55">
        <f t="shared" ref="E59:F59" si="11">SUM(E56:E58)</f>
        <v>0</v>
      </c>
      <c r="F59" s="55">
        <f t="shared" si="11"/>
        <v>15929</v>
      </c>
      <c r="G59" s="55">
        <f>SUM(G56:G58)</f>
        <v>0</v>
      </c>
      <c r="H59" s="55">
        <f>SUM(H56:H58)</f>
        <v>0</v>
      </c>
      <c r="I59" s="55">
        <f>SUM(I56:I58)</f>
        <v>0</v>
      </c>
      <c r="J59" s="55"/>
      <c r="K59" s="55"/>
      <c r="L59" s="85"/>
      <c r="M59" s="55">
        <f t="shared" ref="M59" si="12">SUM(M56:M58)</f>
        <v>0</v>
      </c>
      <c r="N59" s="55"/>
      <c r="O59" s="55"/>
    </row>
    <row r="60" spans="1:15" s="35" customFormat="1" ht="14" x14ac:dyDescent="0.2">
      <c r="A60" s="43" t="s">
        <v>76</v>
      </c>
      <c r="B60" s="93"/>
      <c r="C60" s="71"/>
      <c r="D60" s="72"/>
      <c r="E60" s="82">
        <v>2500</v>
      </c>
      <c r="F60" s="89"/>
      <c r="G60" s="112">
        <f>G5*0.1</f>
        <v>2650</v>
      </c>
      <c r="H60" s="112"/>
      <c r="I60" s="112"/>
      <c r="J60" s="128"/>
      <c r="K60" s="128"/>
      <c r="L60" s="112"/>
      <c r="M60" s="138">
        <f>M5*0.1</f>
        <v>2750</v>
      </c>
      <c r="N60" s="138"/>
      <c r="O60" s="138"/>
    </row>
    <row r="61" spans="1:15" x14ac:dyDescent="0.2">
      <c r="A61" s="31"/>
      <c r="B61" s="63"/>
      <c r="C61" s="23"/>
      <c r="D61" s="24"/>
      <c r="E61" s="81"/>
      <c r="F61" s="90" t="str">
        <f>IF(E61="","",IF(E61&gt;100%,"Check",""))</f>
        <v/>
      </c>
      <c r="G61" s="110"/>
      <c r="H61" s="110"/>
      <c r="I61" s="110"/>
      <c r="J61" s="111"/>
      <c r="K61" s="111"/>
      <c r="L61" s="110"/>
      <c r="M61" s="134"/>
      <c r="N61" s="134"/>
      <c r="O61" s="134"/>
    </row>
    <row r="62" spans="1:15" s="98" customFormat="1" ht="14" x14ac:dyDescent="0.2">
      <c r="A62" s="96" t="s">
        <v>77</v>
      </c>
      <c r="B62" s="96"/>
      <c r="C62" s="97"/>
      <c r="D62" s="34"/>
      <c r="E62" s="94">
        <f>E10</f>
        <v>25350</v>
      </c>
      <c r="F62" s="94">
        <f>F10</f>
        <v>42518.520000000004</v>
      </c>
      <c r="G62" s="94">
        <f>G10</f>
        <v>26850</v>
      </c>
      <c r="H62" s="94">
        <f>H10</f>
        <v>28015.88</v>
      </c>
      <c r="I62" s="94"/>
      <c r="J62" s="55"/>
      <c r="K62" s="54"/>
      <c r="L62" s="85"/>
      <c r="M62" s="94">
        <f>M10</f>
        <v>27850</v>
      </c>
      <c r="N62" s="55"/>
      <c r="O62" s="55"/>
    </row>
    <row r="63" spans="1:15" s="98" customFormat="1" ht="135" x14ac:dyDescent="0.2">
      <c r="A63" s="99" t="s">
        <v>78</v>
      </c>
      <c r="B63" s="100"/>
      <c r="C63" s="97"/>
      <c r="D63" s="34"/>
      <c r="E63" s="55">
        <f>E53+E59+E60</f>
        <v>30193.014666666666</v>
      </c>
      <c r="F63" s="55">
        <f>F53+F59+F60</f>
        <v>40758.620000000003</v>
      </c>
      <c r="G63" s="55">
        <f>G53+G59+G60</f>
        <v>33558.5412</v>
      </c>
      <c r="H63" s="55">
        <f>H53+H59+H60</f>
        <v>17980.64</v>
      </c>
      <c r="I63" s="55">
        <f>I53+I59+I60</f>
        <v>12927.9012</v>
      </c>
      <c r="J63" s="55" t="s">
        <v>191</v>
      </c>
      <c r="K63" s="55"/>
      <c r="L63" s="85"/>
      <c r="M63" s="55">
        <f>M53+M59+M60</f>
        <v>35509.974331999998</v>
      </c>
      <c r="N63" s="55"/>
      <c r="O63" s="55"/>
    </row>
    <row r="64" spans="1:15" s="44" customFormat="1" ht="31" thickBot="1" x14ac:dyDescent="0.25">
      <c r="A64" s="73" t="s">
        <v>79</v>
      </c>
      <c r="B64" s="95"/>
      <c r="C64" s="74"/>
      <c r="D64" s="56"/>
      <c r="E64" s="87">
        <f t="shared" ref="E64:F64" si="13">E62-E63</f>
        <v>-4843.014666666666</v>
      </c>
      <c r="F64" s="87">
        <f t="shared" si="13"/>
        <v>1759.9000000000015</v>
      </c>
      <c r="G64" s="87">
        <f>G62-G63</f>
        <v>-6708.5411999999997</v>
      </c>
      <c r="H64" s="87">
        <f>H62-H63</f>
        <v>10035.240000000002</v>
      </c>
      <c r="I64" s="127"/>
      <c r="J64" s="55"/>
      <c r="K64" s="127"/>
      <c r="L64" s="85"/>
      <c r="M64" s="87">
        <f>M62-M63</f>
        <v>-7659.974331999998</v>
      </c>
      <c r="N64" s="55"/>
      <c r="O64" s="55"/>
    </row>
    <row r="65" spans="1:15" s="108" customFormat="1" ht="101" customHeight="1" x14ac:dyDescent="0.2">
      <c r="A65" s="102" t="s">
        <v>80</v>
      </c>
      <c r="B65" s="103"/>
      <c r="C65" s="104"/>
      <c r="D65" s="105"/>
      <c r="E65" s="106">
        <v>58.06</v>
      </c>
      <c r="F65" s="107"/>
      <c r="G65" s="116">
        <f>G5/455.6</f>
        <v>58.165057067603158</v>
      </c>
      <c r="H65" s="116"/>
      <c r="I65" s="116"/>
      <c r="J65" s="129" t="s">
        <v>185</v>
      </c>
      <c r="K65" s="129"/>
      <c r="L65" s="113"/>
      <c r="M65" s="135">
        <f>M5/455.6</f>
        <v>60.359964881474973</v>
      </c>
      <c r="N65" s="140" t="s">
        <v>207</v>
      </c>
      <c r="O65" s="140"/>
    </row>
    <row r="66" spans="1:15" s="45" customFormat="1" ht="32" x14ac:dyDescent="0.2">
      <c r="A66" s="75"/>
      <c r="B66" s="75"/>
      <c r="C66" s="75"/>
      <c r="D66" s="101"/>
      <c r="E66" s="83"/>
      <c r="F66" s="83"/>
      <c r="G66" s="126">
        <f>(G65-E65)/E65</f>
        <v>1.8094568998132186E-3</v>
      </c>
      <c r="H66" s="126"/>
      <c r="I66" s="126"/>
      <c r="J66" s="137" t="s">
        <v>152</v>
      </c>
      <c r="K66" s="130"/>
      <c r="L66" s="114"/>
      <c r="M66" s="143">
        <f>(M65-G65)/G65</f>
        <v>3.7735849056603737E-2</v>
      </c>
      <c r="N66" s="141" t="s">
        <v>152</v>
      </c>
      <c r="O66" s="141"/>
    </row>
    <row r="67" spans="1:15" s="79" customFormat="1" ht="32" x14ac:dyDescent="0.2">
      <c r="A67" s="76" t="s">
        <v>104</v>
      </c>
      <c r="B67" s="76"/>
      <c r="C67" s="77"/>
      <c r="D67" s="78"/>
      <c r="E67" s="84">
        <v>19310</v>
      </c>
      <c r="F67" s="84"/>
      <c r="G67" s="115">
        <v>15187.07</v>
      </c>
      <c r="H67" s="115"/>
      <c r="I67" s="115"/>
      <c r="J67" s="131"/>
      <c r="K67" s="131"/>
      <c r="L67" s="115"/>
      <c r="M67" s="142"/>
      <c r="N67" s="142" t="s">
        <v>203</v>
      </c>
      <c r="O67" s="142"/>
    </row>
    <row r="68" spans="1:15" s="79" customFormat="1" x14ac:dyDescent="0.2">
      <c r="A68" s="76" t="s">
        <v>105</v>
      </c>
      <c r="B68" s="76"/>
      <c r="C68" s="77"/>
      <c r="D68" s="78"/>
      <c r="E68" s="84">
        <v>15187</v>
      </c>
      <c r="F68" s="84"/>
      <c r="G68" s="115"/>
      <c r="H68" s="115"/>
      <c r="I68" s="115"/>
      <c r="J68" s="131"/>
      <c r="K68" s="131"/>
      <c r="L68" s="115"/>
      <c r="M68" s="142"/>
      <c r="N68" s="142"/>
      <c r="O68" s="142"/>
    </row>
  </sheetData>
  <autoFilter ref="A3:F65" xr:uid="{B92EC12A-F819-4909-BCAD-86A1D00E023E}"/>
  <sortState xmlns:xlrd2="http://schemas.microsoft.com/office/spreadsheetml/2017/richdata2" ref="A13:D51">
    <sortCondition ref="C13:C51"/>
  </sortState>
  <phoneticPr fontId="18" type="noConversion"/>
  <conditionalFormatting sqref="F13:F52 F54:F58 F60:F61">
    <cfRule type="containsText" dxfId="0" priority="1" operator="containsText" text="Check">
      <formula>NOT(ISERROR(SEARCH("Check",F13)))</formula>
    </cfRule>
  </conditionalFormatting>
  <printOptions gridLines="1"/>
  <pageMargins left="0.7" right="0.7" top="0.75" bottom="0.75" header="0.3" footer="0.3"/>
  <pageSetup paperSize="9" scale="55" fitToHeight="0" orientation="landscape" r:id="rId1"/>
  <headerFooter>
    <oddFooter>&amp;L&amp;"Calibri,Regular"&amp;K000000&amp;A&amp;C&amp;"Calibri,Regular"&amp;K000000&amp;D</oddFooter>
  </headerFooter>
  <rowBreaks count="1" manualBreakCount="1">
    <brk id="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C68AF-9042-BA45-B156-9C70AFA54585}">
  <dimension ref="B1:G15"/>
  <sheetViews>
    <sheetView zoomScale="140" zoomScaleNormal="140" workbookViewId="0">
      <selection activeCell="G6" sqref="G6"/>
    </sheetView>
  </sheetViews>
  <sheetFormatPr baseColWidth="10" defaultRowHeight="16" x14ac:dyDescent="0.2"/>
  <cols>
    <col min="1" max="1" width="6.83203125" style="91" customWidth="1"/>
    <col min="2" max="2" width="46.33203125" style="91" customWidth="1"/>
    <col min="3" max="3" width="12.33203125" style="92" customWidth="1"/>
    <col min="4" max="4" width="46.1640625" style="91" customWidth="1"/>
    <col min="5" max="5" width="28" style="91" customWidth="1"/>
    <col min="6" max="6" width="25" style="91" customWidth="1"/>
    <col min="7" max="7" width="11" style="91" customWidth="1"/>
    <col min="8" max="16384" width="10.83203125" style="91"/>
  </cols>
  <sheetData>
    <row r="1" spans="2:7" x14ac:dyDescent="0.2">
      <c r="B1" s="91" t="s">
        <v>197</v>
      </c>
    </row>
    <row r="2" spans="2:7" x14ac:dyDescent="0.2">
      <c r="F2" s="148" t="s">
        <v>192</v>
      </c>
      <c r="G2" s="145"/>
    </row>
    <row r="3" spans="2:7" ht="15" customHeight="1" x14ac:dyDescent="0.2">
      <c r="B3" s="117" t="s">
        <v>140</v>
      </c>
      <c r="C3" s="118">
        <v>15187.07</v>
      </c>
      <c r="D3" s="117"/>
      <c r="F3" s="144" t="s">
        <v>3</v>
      </c>
      <c r="G3" s="146">
        <v>27850</v>
      </c>
    </row>
    <row r="4" spans="2:7" ht="15" customHeight="1" x14ac:dyDescent="0.2">
      <c r="B4" s="117" t="s">
        <v>199</v>
      </c>
      <c r="C4" s="118">
        <v>28016</v>
      </c>
      <c r="D4" s="117"/>
      <c r="F4" s="144" t="s">
        <v>193</v>
      </c>
      <c r="G4" s="146">
        <f>Budget_Spend!M53</f>
        <v>32759.974332000002</v>
      </c>
    </row>
    <row r="5" spans="2:7" ht="15" customHeight="1" x14ac:dyDescent="0.2">
      <c r="B5" s="117" t="s">
        <v>200</v>
      </c>
      <c r="C5" s="118">
        <v>17981</v>
      </c>
      <c r="D5" s="117"/>
      <c r="F5" s="144" t="s">
        <v>194</v>
      </c>
      <c r="G5" s="146">
        <v>0</v>
      </c>
    </row>
    <row r="6" spans="2:7" ht="15" customHeight="1" x14ac:dyDescent="0.2">
      <c r="B6" s="117" t="s">
        <v>201</v>
      </c>
      <c r="C6" s="118">
        <v>2096.91</v>
      </c>
      <c r="D6" s="117"/>
      <c r="F6" s="144" t="s">
        <v>153</v>
      </c>
      <c r="G6" s="147">
        <v>2750</v>
      </c>
    </row>
    <row r="7" spans="2:7" ht="15" customHeight="1" x14ac:dyDescent="0.2">
      <c r="B7" s="119" t="s">
        <v>123</v>
      </c>
      <c r="C7" s="120">
        <f>C3+C4-C5-C6</f>
        <v>23125.16</v>
      </c>
      <c r="D7" s="121" t="s">
        <v>202</v>
      </c>
      <c r="F7" s="144" t="s">
        <v>195</v>
      </c>
      <c r="G7" s="146">
        <f>SUM(G4:G6)</f>
        <v>35509.974331999998</v>
      </c>
    </row>
    <row r="8" spans="2:7" ht="15" customHeight="1" x14ac:dyDescent="0.2">
      <c r="B8" s="117"/>
      <c r="C8" s="118"/>
      <c r="D8" s="117"/>
      <c r="F8" s="144" t="s">
        <v>196</v>
      </c>
      <c r="G8" s="146">
        <f>G3-G7</f>
        <v>-7659.974331999998</v>
      </c>
    </row>
    <row r="9" spans="2:7" ht="15" customHeight="1" x14ac:dyDescent="0.2">
      <c r="B9" s="117" t="s">
        <v>124</v>
      </c>
      <c r="C9" s="118">
        <v>350</v>
      </c>
      <c r="D9" s="117" t="s">
        <v>125</v>
      </c>
    </row>
    <row r="10" spans="2:7" ht="15" customHeight="1" x14ac:dyDescent="0.2">
      <c r="B10" s="117" t="s">
        <v>126</v>
      </c>
      <c r="C10" s="118">
        <v>7916</v>
      </c>
      <c r="D10" s="117"/>
    </row>
    <row r="11" spans="2:7" ht="15" customHeight="1" x14ac:dyDescent="0.2">
      <c r="B11" s="117"/>
      <c r="C11" s="118"/>
      <c r="D11" s="117"/>
    </row>
    <row r="12" spans="2:7" ht="15" customHeight="1" x14ac:dyDescent="0.2">
      <c r="B12" s="119" t="s">
        <v>198</v>
      </c>
      <c r="C12" s="120">
        <f>C7+C9-C10</f>
        <v>15559.16</v>
      </c>
      <c r="D12" s="117"/>
    </row>
    <row r="13" spans="2:7" x14ac:dyDescent="0.2">
      <c r="B13" s="117"/>
      <c r="C13" s="118"/>
      <c r="D13" s="117"/>
    </row>
    <row r="14" spans="2:7" x14ac:dyDescent="0.2">
      <c r="B14" s="117"/>
      <c r="C14" s="118"/>
      <c r="D14" s="117"/>
    </row>
    <row r="15" spans="2:7" x14ac:dyDescent="0.2">
      <c r="B15" s="117"/>
      <c r="C15" s="118"/>
      <c r="D15" s="117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Budget_Spend</vt:lpstr>
      <vt:lpstr>Summary</vt:lpstr>
      <vt:lpstr>Budget_Spend!Print_Area</vt:lpstr>
      <vt:lpstr>Budget_Spend!Print_Titles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2025-11-19T16:54:16Z</cp:lastPrinted>
  <dcterms:created xsi:type="dcterms:W3CDTF">2019-05-15T17:12:23Z</dcterms:created>
  <dcterms:modified xsi:type="dcterms:W3CDTF">2025-12-11T16:15:38Z</dcterms:modified>
  <cp:category/>
  <cp:contentStatus/>
</cp:coreProperties>
</file>