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4"/>
  <workbookPr defaultThemeVersion="166925"/>
  <mc:AlternateContent xmlns:mc="http://schemas.openxmlformats.org/markup-compatibility/2006">
    <mc:Choice Requires="x15">
      <x15ac:absPath xmlns:x15ac="http://schemas.microsoft.com/office/spreadsheetml/2010/11/ac" url="/Users/moragbirch/Library/CloudStorage/Dropbox/Parish Council Meetings/20260108/"/>
    </mc:Choice>
  </mc:AlternateContent>
  <xr:revisionPtr revIDLastSave="0" documentId="13_ncr:1_{3C8D8D96-CC2A-894B-B033-4654056D808B}" xr6:coauthVersionLast="47" xr6:coauthVersionMax="47" xr10:uidLastSave="{00000000-0000-0000-0000-000000000000}"/>
  <bookViews>
    <workbookView minimized="1" xWindow="0" yWindow="500" windowWidth="28800" windowHeight="16100" xr2:uid="{EF328E6F-9CCF-444D-A76F-F626E7C71552}"/>
  </bookViews>
  <sheets>
    <sheet name="Budget Status 2025-26" sheetId="11" r:id="rId1"/>
    <sheet name="Activity" sheetId="1" r:id="rId2"/>
    <sheet name="Bank Rec" sheetId="28" r:id="rId3"/>
    <sheet name="TeaClub" sheetId="18" r:id="rId4"/>
    <sheet name="VAT126" sheetId="17" r:id="rId5"/>
  </sheets>
  <definedNames>
    <definedName name="_xlnm._FilterDatabase" localSheetId="1" hidden="1">Activity!$A$4:$R$178</definedName>
    <definedName name="_xlnm._FilterDatabase" localSheetId="4" hidden="1">'VAT126'!$A$275:$H$317</definedName>
    <definedName name="_xlnm.Print_Area" localSheetId="2">'Bank Rec'!$B$1:$D$24</definedName>
    <definedName name="_xlnm.Print_Area" localSheetId="0">'Budget Status 2025-26'!$A$3:$H$49</definedName>
    <definedName name="_xlnm.Print_Area" localSheetId="4">'VAT126'!$A$49:$H$64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73" i="1" l="1"/>
  <c r="L177" i="1" s="1"/>
  <c r="F322" i="17"/>
  <c r="L318" i="17"/>
  <c r="L277" i="17"/>
  <c r="L278" i="17"/>
  <c r="L279" i="17"/>
  <c r="L280" i="17"/>
  <c r="L281" i="17"/>
  <c r="L282" i="17"/>
  <c r="L283" i="17"/>
  <c r="L284" i="17"/>
  <c r="L285" i="17"/>
  <c r="L286" i="17"/>
  <c r="L287" i="17"/>
  <c r="L288" i="17"/>
  <c r="L289" i="17"/>
  <c r="L290" i="17"/>
  <c r="L291" i="17"/>
  <c r="L292" i="17"/>
  <c r="L293" i="17"/>
  <c r="L294" i="17"/>
  <c r="L295" i="17"/>
  <c r="L296" i="17"/>
  <c r="L297" i="17"/>
  <c r="L298" i="17"/>
  <c r="L299" i="17"/>
  <c r="L300" i="17"/>
  <c r="L301" i="17"/>
  <c r="L302" i="17"/>
  <c r="L303" i="17"/>
  <c r="L304" i="17"/>
  <c r="L305" i="17"/>
  <c r="L306" i="17"/>
  <c r="L307" i="17"/>
  <c r="L308" i="17"/>
  <c r="L309" i="17"/>
  <c r="L310" i="17"/>
  <c r="L311" i="17"/>
  <c r="L312" i="17"/>
  <c r="L313" i="17"/>
  <c r="L314" i="17"/>
  <c r="L315" i="17"/>
  <c r="L316" i="17"/>
  <c r="L317" i="17"/>
  <c r="L276" i="17"/>
  <c r="K312" i="17"/>
  <c r="K313" i="17"/>
  <c r="K314" i="17"/>
  <c r="K315" i="17"/>
  <c r="K316" i="17"/>
  <c r="K317" i="17"/>
  <c r="K295" i="17"/>
  <c r="K297" i="17"/>
  <c r="K298" i="17"/>
  <c r="K299" i="17"/>
  <c r="K300" i="17"/>
  <c r="K301" i="17"/>
  <c r="K302" i="17"/>
  <c r="K303" i="17"/>
  <c r="K304" i="17"/>
  <c r="K305" i="17"/>
  <c r="K306" i="17"/>
  <c r="K307" i="17"/>
  <c r="K308" i="17"/>
  <c r="K309" i="17"/>
  <c r="K310" i="17"/>
  <c r="K311" i="17"/>
  <c r="K296" i="17"/>
  <c r="K277" i="17"/>
  <c r="K278" i="17"/>
  <c r="K279" i="17"/>
  <c r="K280" i="17"/>
  <c r="K318" i="17" s="1"/>
  <c r="K281" i="17"/>
  <c r="K282" i="17"/>
  <c r="K283" i="17"/>
  <c r="K284" i="17"/>
  <c r="K285" i="17"/>
  <c r="K286" i="17"/>
  <c r="K287" i="17"/>
  <c r="K288" i="17"/>
  <c r="K289" i="17"/>
  <c r="K290" i="17"/>
  <c r="K291" i="17"/>
  <c r="K292" i="17"/>
  <c r="K293" i="17"/>
  <c r="K294" i="17"/>
  <c r="K276" i="17"/>
  <c r="G320" i="17"/>
  <c r="F320" i="17"/>
  <c r="F8" i="11" l="1"/>
  <c r="K151" i="1" l="1"/>
  <c r="M151" i="1" s="1"/>
  <c r="K152" i="1"/>
  <c r="M152" i="1" s="1"/>
  <c r="K153" i="1"/>
  <c r="M153" i="1" s="1"/>
  <c r="K154" i="1"/>
  <c r="M154" i="1" s="1"/>
  <c r="K155" i="1"/>
  <c r="M155" i="1" s="1"/>
  <c r="K156" i="1"/>
  <c r="M156" i="1" s="1"/>
  <c r="K157" i="1"/>
  <c r="M157" i="1" s="1"/>
  <c r="K158" i="1"/>
  <c r="M158" i="1" s="1"/>
  <c r="K159" i="1"/>
  <c r="M159" i="1" s="1"/>
  <c r="K160" i="1"/>
  <c r="M160" i="1" s="1"/>
  <c r="K161" i="1"/>
  <c r="M161" i="1" s="1"/>
  <c r="M162" i="1"/>
  <c r="F33" i="11" s="1"/>
  <c r="M163" i="1"/>
  <c r="F44" i="11" s="1"/>
  <c r="K164" i="1"/>
  <c r="M164" i="1" s="1"/>
  <c r="K165" i="1"/>
  <c r="M165" i="1" s="1"/>
  <c r="K166" i="1"/>
  <c r="M166" i="1" s="1"/>
  <c r="K167" i="1"/>
  <c r="M167" i="1" s="1"/>
  <c r="K168" i="1"/>
  <c r="M168" i="1" s="1"/>
  <c r="K169" i="1"/>
  <c r="M169" i="1" s="1"/>
  <c r="K170" i="1"/>
  <c r="M170" i="1" s="1"/>
  <c r="K171" i="1"/>
  <c r="M171" i="1" s="1"/>
  <c r="K172" i="1"/>
  <c r="M172" i="1" s="1"/>
  <c r="K150" i="1"/>
  <c r="M150" i="1" s="1"/>
  <c r="I173" i="1"/>
  <c r="J173" i="1"/>
  <c r="H173" i="1"/>
  <c r="F6" i="11"/>
  <c r="K145" i="1"/>
  <c r="M145" i="1" s="1"/>
  <c r="K146" i="1"/>
  <c r="M146" i="1" s="1"/>
  <c r="K139" i="1" l="1"/>
  <c r="K135" i="1" l="1"/>
  <c r="M135" i="1" s="1"/>
  <c r="K130" i="1" l="1"/>
  <c r="M130" i="1" s="1"/>
  <c r="K131" i="1"/>
  <c r="M131" i="1" s="1"/>
  <c r="K132" i="1"/>
  <c r="M132" i="1" s="1"/>
  <c r="K133" i="1"/>
  <c r="M133" i="1" s="1"/>
  <c r="K134" i="1"/>
  <c r="M134" i="1" s="1"/>
  <c r="K136" i="1"/>
  <c r="M136" i="1" s="1"/>
  <c r="F16" i="11" s="1"/>
  <c r="K137" i="1"/>
  <c r="M137" i="1" s="1"/>
  <c r="K138" i="1"/>
  <c r="M138" i="1" s="1"/>
  <c r="M139" i="1"/>
  <c r="M140" i="1"/>
  <c r="M141" i="1"/>
  <c r="K142" i="1"/>
  <c r="M142" i="1" s="1"/>
  <c r="K143" i="1"/>
  <c r="M143" i="1" s="1"/>
  <c r="K144" i="1"/>
  <c r="M144" i="1" s="1"/>
  <c r="K147" i="1"/>
  <c r="M147" i="1" s="1"/>
  <c r="K148" i="1"/>
  <c r="M148" i="1" s="1"/>
  <c r="K108" i="1"/>
  <c r="M108" i="1" s="1"/>
  <c r="K109" i="1"/>
  <c r="M109" i="1" s="1"/>
  <c r="K110" i="1"/>
  <c r="M110" i="1" s="1"/>
  <c r="K111" i="1"/>
  <c r="M111" i="1" s="1"/>
  <c r="K112" i="1"/>
  <c r="M112" i="1" s="1"/>
  <c r="K113" i="1"/>
  <c r="M113" i="1" s="1"/>
  <c r="K114" i="1"/>
  <c r="M114" i="1" s="1"/>
  <c r="K115" i="1"/>
  <c r="M115" i="1" s="1"/>
  <c r="K116" i="1"/>
  <c r="M116" i="1" s="1"/>
  <c r="K117" i="1"/>
  <c r="M117" i="1" s="1"/>
  <c r="K118" i="1"/>
  <c r="M118" i="1" s="1"/>
  <c r="K119" i="1"/>
  <c r="M119" i="1" s="1"/>
  <c r="K120" i="1"/>
  <c r="M120" i="1" s="1"/>
  <c r="K121" i="1"/>
  <c r="M121" i="1" s="1"/>
  <c r="K122" i="1"/>
  <c r="M122" i="1" s="1"/>
  <c r="K123" i="1"/>
  <c r="M123" i="1" s="1"/>
  <c r="K124" i="1"/>
  <c r="M124" i="1" s="1"/>
  <c r="K125" i="1"/>
  <c r="M125" i="1" s="1"/>
  <c r="K126" i="1"/>
  <c r="M126" i="1" s="1"/>
  <c r="K127" i="1"/>
  <c r="M127" i="1" s="1"/>
  <c r="K128" i="1"/>
  <c r="M128" i="1" s="1"/>
  <c r="K129" i="1"/>
  <c r="M129" i="1" s="1"/>
  <c r="F5" i="11"/>
  <c r="K89" i="1"/>
  <c r="M89" i="1" s="1"/>
  <c r="K90" i="1"/>
  <c r="M90" i="1" s="1"/>
  <c r="K91" i="1"/>
  <c r="M91" i="1" s="1"/>
  <c r="F23" i="11" s="1"/>
  <c r="K92" i="1"/>
  <c r="M92" i="1" s="1"/>
  <c r="K93" i="1"/>
  <c r="M93" i="1" s="1"/>
  <c r="K94" i="1"/>
  <c r="M94" i="1" s="1"/>
  <c r="K95" i="1"/>
  <c r="M95" i="1" s="1"/>
  <c r="K96" i="1"/>
  <c r="M96" i="1" s="1"/>
  <c r="K97" i="1"/>
  <c r="M97" i="1" s="1"/>
  <c r="K98" i="1"/>
  <c r="M98" i="1" s="1"/>
  <c r="K99" i="1"/>
  <c r="M99" i="1" s="1"/>
  <c r="K100" i="1"/>
  <c r="M100" i="1" s="1"/>
  <c r="K101" i="1"/>
  <c r="M101" i="1" s="1"/>
  <c r="F18" i="11" s="1"/>
  <c r="K102" i="1"/>
  <c r="M102" i="1" s="1"/>
  <c r="K103" i="1"/>
  <c r="M103" i="1" s="1"/>
  <c r="K88" i="1"/>
  <c r="M88" i="1" s="1"/>
  <c r="F31" i="11" l="1"/>
  <c r="F36" i="11"/>
  <c r="F29" i="11"/>
  <c r="K77" i="1"/>
  <c r="M77" i="1" s="1"/>
  <c r="K78" i="1"/>
  <c r="M78" i="1" s="1"/>
  <c r="K79" i="1"/>
  <c r="M79" i="1" s="1"/>
  <c r="K80" i="1"/>
  <c r="M80" i="1" s="1"/>
  <c r="K81" i="1"/>
  <c r="M81" i="1" s="1"/>
  <c r="K82" i="1"/>
  <c r="M82" i="1" s="1"/>
  <c r="K83" i="1"/>
  <c r="M83" i="1" s="1"/>
  <c r="K84" i="1"/>
  <c r="M84" i="1" s="1"/>
  <c r="K85" i="1"/>
  <c r="M85" i="1" s="1"/>
  <c r="K86" i="1"/>
  <c r="M86" i="1" s="1"/>
  <c r="K87" i="1"/>
  <c r="M87" i="1" s="1"/>
  <c r="F22" i="11" s="1"/>
  <c r="K104" i="1"/>
  <c r="M104" i="1" s="1"/>
  <c r="K105" i="1"/>
  <c r="M105" i="1" s="1"/>
  <c r="M106" i="1"/>
  <c r="K107" i="1"/>
  <c r="M107" i="1" s="1"/>
  <c r="F36" i="18"/>
  <c r="G36" i="18"/>
  <c r="H36" i="18"/>
  <c r="E36" i="18"/>
  <c r="K36" i="18" s="1"/>
  <c r="L36" i="18"/>
  <c r="L10" i="18"/>
  <c r="L14" i="18"/>
  <c r="L17" i="18"/>
  <c r="L24" i="18"/>
  <c r="L28" i="18"/>
  <c r="L6" i="18"/>
  <c r="K6" i="18"/>
  <c r="K10" i="18"/>
  <c r="K14" i="18"/>
  <c r="K17" i="18"/>
  <c r="K24" i="18"/>
  <c r="K28" i="18"/>
  <c r="H31" i="18" l="1"/>
  <c r="H30" i="18"/>
  <c r="H29" i="18"/>
  <c r="H28" i="18"/>
  <c r="K57" i="1" l="1"/>
  <c r="K58" i="1"/>
  <c r="K59" i="1"/>
  <c r="K60" i="1"/>
  <c r="K61" i="1"/>
  <c r="K62" i="1"/>
  <c r="K63" i="1"/>
  <c r="K64" i="1"/>
  <c r="K65" i="1"/>
  <c r="K66" i="1"/>
  <c r="K67" i="1"/>
  <c r="K68" i="1"/>
  <c r="K69" i="1"/>
  <c r="K70" i="1"/>
  <c r="K71" i="1"/>
  <c r="M71" i="1" s="1"/>
  <c r="K72" i="1"/>
  <c r="M72" i="1" s="1"/>
  <c r="K73" i="1"/>
  <c r="M73" i="1" s="1"/>
  <c r="F27" i="11" s="1"/>
  <c r="K74" i="1"/>
  <c r="M74" i="1" s="1"/>
  <c r="K75" i="1"/>
  <c r="M75" i="1" s="1"/>
  <c r="F25" i="11" s="1"/>
  <c r="K76" i="1"/>
  <c r="K56" i="1" l="1"/>
  <c r="M56" i="1" s="1"/>
  <c r="M57" i="1"/>
  <c r="M58" i="1"/>
  <c r="M59" i="1"/>
  <c r="M60" i="1"/>
  <c r="M61" i="1"/>
  <c r="M62" i="1"/>
  <c r="M63" i="1"/>
  <c r="M64" i="1"/>
  <c r="M65" i="1"/>
  <c r="M66" i="1"/>
  <c r="M67" i="1"/>
  <c r="M68" i="1"/>
  <c r="M69" i="1"/>
  <c r="K55" i="1"/>
  <c r="M55" i="1" s="1"/>
  <c r="K43" i="1"/>
  <c r="M43" i="1" s="1"/>
  <c r="K44" i="1"/>
  <c r="M44" i="1" s="1"/>
  <c r="K45" i="1"/>
  <c r="M45" i="1" s="1"/>
  <c r="K46" i="1"/>
  <c r="M46" i="1" s="1"/>
  <c r="K47" i="1"/>
  <c r="M47" i="1" s="1"/>
  <c r="K48" i="1"/>
  <c r="M48" i="1" s="1"/>
  <c r="K36" i="1" l="1"/>
  <c r="M36" i="1" s="1"/>
  <c r="K37" i="1"/>
  <c r="M37" i="1" s="1"/>
  <c r="K38" i="1"/>
  <c r="M38" i="1" s="1"/>
  <c r="K39" i="1"/>
  <c r="M39" i="1" s="1"/>
  <c r="K40" i="1"/>
  <c r="M40" i="1" s="1"/>
  <c r="K41" i="1"/>
  <c r="M41" i="1" s="1"/>
  <c r="K42" i="1"/>
  <c r="M42" i="1" s="1"/>
  <c r="K49" i="1"/>
  <c r="M49" i="1" s="1"/>
  <c r="K50" i="1"/>
  <c r="M50" i="1" s="1"/>
  <c r="K51" i="1"/>
  <c r="M51" i="1" s="1"/>
  <c r="F39" i="11" s="1"/>
  <c r="K52" i="1"/>
  <c r="M52" i="1" s="1"/>
  <c r="F30" i="11" s="1"/>
  <c r="K53" i="1"/>
  <c r="M53" i="1" s="1"/>
  <c r="K54" i="1"/>
  <c r="M54" i="1" s="1"/>
  <c r="M70" i="1"/>
  <c r="M76" i="1"/>
  <c r="G6" i="11"/>
  <c r="G7" i="11"/>
  <c r="G8" i="11"/>
  <c r="F9" i="11"/>
  <c r="G5" i="11"/>
  <c r="E63" i="11"/>
  <c r="E49" i="11"/>
  <c r="G16" i="11"/>
  <c r="F41" i="11" l="1"/>
  <c r="F15" i="11"/>
  <c r="P6" i="1"/>
  <c r="P7" i="1" s="1"/>
  <c r="P8" i="1" s="1"/>
  <c r="P9" i="1" s="1"/>
  <c r="P10" i="1" s="1"/>
  <c r="P11" i="1" s="1"/>
  <c r="P12" i="1" s="1"/>
  <c r="P13" i="1" s="1"/>
  <c r="P14" i="1" s="1"/>
  <c r="P15" i="1" s="1"/>
  <c r="P16" i="1" s="1"/>
  <c r="P17" i="1" s="1"/>
  <c r="P18" i="1" s="1"/>
  <c r="P19" i="1" s="1"/>
  <c r="P20" i="1" s="1"/>
  <c r="P21" i="1" s="1"/>
  <c r="P22" i="1" s="1"/>
  <c r="P23" i="1" s="1"/>
  <c r="P24" i="1" s="1"/>
  <c r="P25" i="1" s="1"/>
  <c r="P26" i="1" s="1"/>
  <c r="P27" i="1" s="1"/>
  <c r="P28" i="1" s="1"/>
  <c r="P29" i="1" s="1"/>
  <c r="P30" i="1" s="1"/>
  <c r="P31" i="1" s="1"/>
  <c r="P32" i="1" s="1"/>
  <c r="P33" i="1" s="1"/>
  <c r="P34" i="1" s="1"/>
  <c r="P35" i="1" s="1"/>
  <c r="P36" i="1" s="1"/>
  <c r="P37" i="1" s="1"/>
  <c r="P38" i="1" s="1"/>
  <c r="P39" i="1" s="1"/>
  <c r="P40" i="1" s="1"/>
  <c r="P41" i="1" s="1"/>
  <c r="P42" i="1" s="1"/>
  <c r="K17" i="1"/>
  <c r="M17" i="1" s="1"/>
  <c r="K18" i="1"/>
  <c r="M18" i="1" s="1"/>
  <c r="K19" i="1"/>
  <c r="M19" i="1" s="1"/>
  <c r="K20" i="1"/>
  <c r="M20" i="1" s="1"/>
  <c r="K21" i="1"/>
  <c r="M21" i="1" s="1"/>
  <c r="K22" i="1"/>
  <c r="M22" i="1" s="1"/>
  <c r="K6" i="1"/>
  <c r="M6" i="1" s="1"/>
  <c r="K7" i="1"/>
  <c r="M7" i="1" s="1"/>
  <c r="K8" i="1"/>
  <c r="M8" i="1" s="1"/>
  <c r="K9" i="1"/>
  <c r="M9" i="1" s="1"/>
  <c r="K10" i="1"/>
  <c r="M10" i="1" s="1"/>
  <c r="K11" i="1"/>
  <c r="M11" i="1" s="1"/>
  <c r="K12" i="1"/>
  <c r="M12" i="1" s="1"/>
  <c r="K13" i="1"/>
  <c r="M13" i="1" s="1"/>
  <c r="K28" i="1"/>
  <c r="M28" i="1" s="1"/>
  <c r="F21" i="11" s="1"/>
  <c r="G272" i="17"/>
  <c r="P43" i="1" l="1"/>
  <c r="P44" i="1" s="1"/>
  <c r="P45" i="1" s="1"/>
  <c r="P46" i="1" s="1"/>
  <c r="P47" i="1" s="1"/>
  <c r="P48" i="1" s="1"/>
  <c r="P49" i="1" s="1"/>
  <c r="P50" i="1" s="1"/>
  <c r="P51" i="1" s="1"/>
  <c r="P52" i="1" s="1"/>
  <c r="P53" i="1" s="1"/>
  <c r="P54" i="1" s="1"/>
  <c r="C30" i="28"/>
  <c r="C31" i="28" s="1"/>
  <c r="C32" i="28" s="1"/>
  <c r="C33" i="28" s="1"/>
  <c r="C34" i="28" s="1"/>
  <c r="C35" i="28" s="1"/>
  <c r="C36" i="28" s="1"/>
  <c r="C37" i="28" s="1"/>
  <c r="C38" i="28" s="1"/>
  <c r="C29" i="28"/>
  <c r="C28" i="28"/>
  <c r="P55" i="1" l="1"/>
  <c r="P56" i="1" s="1"/>
  <c r="P57" i="1" s="1"/>
  <c r="P58" i="1" s="1"/>
  <c r="P59" i="1" s="1"/>
  <c r="P60" i="1" s="1"/>
  <c r="P61" i="1" s="1"/>
  <c r="P62" i="1" s="1"/>
  <c r="P63" i="1" s="1"/>
  <c r="P64" i="1" s="1"/>
  <c r="P65" i="1" s="1"/>
  <c r="P66" i="1" s="1"/>
  <c r="P67" i="1" s="1"/>
  <c r="P68" i="1" s="1"/>
  <c r="P69" i="1" s="1"/>
  <c r="P70" i="1" s="1"/>
  <c r="K24" i="1"/>
  <c r="M24" i="1" l="1"/>
  <c r="P71" i="1"/>
  <c r="P72" i="1" s="1"/>
  <c r="P73" i="1" s="1"/>
  <c r="P74" i="1" s="1"/>
  <c r="P75" i="1" s="1"/>
  <c r="P76" i="1" s="1"/>
  <c r="D15" i="28"/>
  <c r="D17" i="28"/>
  <c r="D39" i="28"/>
  <c r="D23" i="28" s="1"/>
  <c r="E39" i="28"/>
  <c r="D22" i="28" s="1"/>
  <c r="P77" i="1" l="1"/>
  <c r="P78" i="1" s="1"/>
  <c r="P79" i="1" s="1"/>
  <c r="P80" i="1" s="1"/>
  <c r="P81" i="1" s="1"/>
  <c r="P82" i="1" s="1"/>
  <c r="P83" i="1" s="1"/>
  <c r="P84" i="1" s="1"/>
  <c r="P85" i="1" s="1"/>
  <c r="P86" i="1" s="1"/>
  <c r="P87" i="1" s="1"/>
  <c r="F39" i="28"/>
  <c r="D24" i="28"/>
  <c r="P88" i="1" l="1"/>
  <c r="P89" i="1" s="1"/>
  <c r="P90" i="1" s="1"/>
  <c r="P91" i="1" s="1"/>
  <c r="P92" i="1" s="1"/>
  <c r="P93" i="1" s="1"/>
  <c r="P94" i="1" s="1"/>
  <c r="P95" i="1" s="1"/>
  <c r="P96" i="1" s="1"/>
  <c r="P97" i="1" s="1"/>
  <c r="P98" i="1" s="1"/>
  <c r="P99" i="1" s="1"/>
  <c r="P100" i="1" s="1"/>
  <c r="P101" i="1" s="1"/>
  <c r="P102" i="1" s="1"/>
  <c r="P103" i="1" s="1"/>
  <c r="P104" i="1" s="1"/>
  <c r="P105" i="1" s="1"/>
  <c r="P106" i="1" s="1"/>
  <c r="P107" i="1" s="1"/>
  <c r="P108" i="1" s="1"/>
  <c r="P109" i="1" s="1"/>
  <c r="P110" i="1" s="1"/>
  <c r="P111" i="1" s="1"/>
  <c r="P112" i="1" s="1"/>
  <c r="P113" i="1" s="1"/>
  <c r="P114" i="1" s="1"/>
  <c r="P115" i="1" s="1"/>
  <c r="P116" i="1" s="1"/>
  <c r="P117" i="1" s="1"/>
  <c r="P118" i="1" s="1"/>
  <c r="P119" i="1" s="1"/>
  <c r="P120" i="1" s="1"/>
  <c r="P121" i="1" s="1"/>
  <c r="P122" i="1" s="1"/>
  <c r="P123" i="1" s="1"/>
  <c r="P124" i="1" s="1"/>
  <c r="P125" i="1" s="1"/>
  <c r="P126" i="1" s="1"/>
  <c r="P127" i="1" s="1"/>
  <c r="P128" i="1" s="1"/>
  <c r="P129" i="1" s="1"/>
  <c r="P130" i="1" s="1"/>
  <c r="P131" i="1" s="1"/>
  <c r="P132" i="1" s="1"/>
  <c r="P133" i="1" s="1"/>
  <c r="K25" i="1"/>
  <c r="K26" i="1"/>
  <c r="M26" i="1" s="1"/>
  <c r="F45" i="11" s="1"/>
  <c r="G45" i="11" s="1"/>
  <c r="K27" i="1"/>
  <c r="M27" i="1" s="1"/>
  <c r="F46" i="11" s="1"/>
  <c r="K29" i="1"/>
  <c r="M29" i="1" s="1"/>
  <c r="F24" i="11" s="1"/>
  <c r="K30" i="1"/>
  <c r="M30" i="1" s="1"/>
  <c r="H24" i="18"/>
  <c r="H25" i="18"/>
  <c r="H26" i="18"/>
  <c r="H27" i="18"/>
  <c r="K31" i="1"/>
  <c r="M31" i="1" s="1"/>
  <c r="F66" i="11"/>
  <c r="K32" i="1"/>
  <c r="M32" i="1" s="1"/>
  <c r="F20" i="11" s="1"/>
  <c r="K33" i="1"/>
  <c r="M33" i="1" s="1"/>
  <c r="K34" i="1"/>
  <c r="M34" i="1" s="1"/>
  <c r="H22" i="18"/>
  <c r="H23" i="18"/>
  <c r="K35" i="1"/>
  <c r="M35" i="1" s="1"/>
  <c r="F17" i="11" s="1"/>
  <c r="F13" i="11" l="1"/>
  <c r="K173" i="1"/>
  <c r="K175" i="1" s="1"/>
  <c r="P134" i="1"/>
  <c r="P135" i="1" s="1"/>
  <c r="P136" i="1" s="1"/>
  <c r="P137" i="1" s="1"/>
  <c r="P138" i="1" s="1"/>
  <c r="P139" i="1" s="1"/>
  <c r="P140" i="1" s="1"/>
  <c r="P141" i="1" s="1"/>
  <c r="P142" i="1" s="1"/>
  <c r="P143" i="1" s="1"/>
  <c r="P144" i="1" s="1"/>
  <c r="P145" i="1" s="1"/>
  <c r="P146" i="1" s="1"/>
  <c r="P147" i="1" s="1"/>
  <c r="G46" i="11"/>
  <c r="I46" i="11"/>
  <c r="F47" i="11"/>
  <c r="I47" i="11" s="1"/>
  <c r="M25" i="1"/>
  <c r="I21" i="11"/>
  <c r="H6" i="18"/>
  <c r="H7" i="18"/>
  <c r="H8" i="18"/>
  <c r="H9" i="18"/>
  <c r="H10" i="18"/>
  <c r="H11" i="18"/>
  <c r="H12" i="18"/>
  <c r="H13" i="18"/>
  <c r="H14" i="18"/>
  <c r="H15" i="18"/>
  <c r="H16" i="18"/>
  <c r="H17" i="18"/>
  <c r="H18" i="18"/>
  <c r="H19" i="18"/>
  <c r="H20" i="18"/>
  <c r="H21" i="18"/>
  <c r="H5" i="18"/>
  <c r="G252" i="17"/>
  <c r="P148" i="1" l="1"/>
  <c r="P149" i="1" s="1"/>
  <c r="P150" i="1" s="1"/>
  <c r="P151" i="1" s="1"/>
  <c r="P152" i="1" s="1"/>
  <c r="P153" i="1" s="1"/>
  <c r="P154" i="1" s="1"/>
  <c r="P155" i="1" s="1"/>
  <c r="P156" i="1" s="1"/>
  <c r="P157" i="1" s="1"/>
  <c r="P158" i="1" s="1"/>
  <c r="P159" i="1" s="1"/>
  <c r="P160" i="1" s="1"/>
  <c r="P161" i="1" s="1"/>
  <c r="P162" i="1" s="1"/>
  <c r="P163" i="1" s="1"/>
  <c r="P164" i="1" s="1"/>
  <c r="P165" i="1" s="1"/>
  <c r="P166" i="1" s="1"/>
  <c r="P167" i="1" s="1"/>
  <c r="P168" i="1" s="1"/>
  <c r="P169" i="1" s="1"/>
  <c r="P170" i="1" s="1"/>
  <c r="P171" i="1" s="1"/>
  <c r="P172" i="1" s="1"/>
  <c r="F32" i="11"/>
  <c r="M173" i="1"/>
  <c r="G47" i="11"/>
  <c r="G30" i="11" l="1"/>
  <c r="G17" i="11" l="1"/>
  <c r="K14" i="1" l="1"/>
  <c r="M14" i="1" s="1"/>
  <c r="K15" i="1"/>
  <c r="M15" i="1" s="1"/>
  <c r="K16" i="1"/>
  <c r="M16" i="1" s="1"/>
  <c r="I53" i="11"/>
  <c r="G31" i="11" l="1"/>
  <c r="F49" i="11" l="1"/>
  <c r="F212" i="17"/>
  <c r="G212" i="17"/>
  <c r="G9" i="11" l="1"/>
  <c r="G168" i="17" l="1"/>
  <c r="G18" i="11" l="1"/>
  <c r="G133" i="17" l="1"/>
  <c r="G106" i="17" l="1"/>
  <c r="F106" i="17"/>
  <c r="F98" i="17" l="1"/>
  <c r="G98" i="17"/>
  <c r="I30" i="11" l="1"/>
  <c r="J30" i="11" s="1"/>
  <c r="J48" i="11"/>
  <c r="J59" i="11"/>
  <c r="I52" i="11"/>
  <c r="J52" i="11" s="1"/>
  <c r="J53" i="11"/>
  <c r="I54" i="11"/>
  <c r="J54" i="11" s="1"/>
  <c r="I56" i="11"/>
  <c r="J56" i="11" s="1"/>
  <c r="I57" i="11"/>
  <c r="J57" i="11" s="1"/>
  <c r="I58" i="11"/>
  <c r="J58" i="11" s="1"/>
  <c r="I50" i="11"/>
  <c r="J50" i="11" s="1"/>
  <c r="I51" i="11"/>
  <c r="J51" i="11" s="1"/>
  <c r="I23" i="11"/>
  <c r="J23" i="11" s="1"/>
  <c r="I26" i="11"/>
  <c r="J26" i="11" s="1"/>
  <c r="I33" i="11"/>
  <c r="J33" i="11" s="1"/>
  <c r="I34" i="11"/>
  <c r="J34" i="11" s="1"/>
  <c r="I35" i="11"/>
  <c r="J35" i="11" s="1"/>
  <c r="I38" i="11"/>
  <c r="J38" i="11" s="1"/>
  <c r="I40" i="11"/>
  <c r="J40" i="11" s="1"/>
  <c r="I42" i="11"/>
  <c r="J42" i="11" s="1"/>
  <c r="I43" i="11"/>
  <c r="J43" i="11" s="1"/>
  <c r="I44" i="11"/>
  <c r="J44" i="11" s="1"/>
  <c r="J46" i="11"/>
  <c r="I14" i="11"/>
  <c r="J14" i="11" s="1"/>
  <c r="I19" i="11"/>
  <c r="J19" i="11" s="1"/>
  <c r="J21" i="11"/>
  <c r="I18" i="11"/>
  <c r="J18" i="11" s="1"/>
  <c r="I28" i="11"/>
  <c r="J28" i="11" s="1"/>
  <c r="I37" i="11" l="1"/>
  <c r="J37" i="11" s="1"/>
  <c r="I36" i="11"/>
  <c r="J36" i="11" s="1"/>
  <c r="I22" i="11"/>
  <c r="J22" i="11" s="1"/>
  <c r="I25" i="11"/>
  <c r="J25" i="11" s="1"/>
  <c r="I29" i="11"/>
  <c r="J29" i="11" s="1"/>
  <c r="I20" i="11"/>
  <c r="J20" i="11" s="1"/>
  <c r="J47" i="11" l="1"/>
  <c r="I27" i="11"/>
  <c r="J27" i="11" s="1"/>
  <c r="I24" i="11" l="1"/>
  <c r="J24" i="11" s="1"/>
  <c r="I13" i="11"/>
  <c r="J13" i="11" s="1"/>
  <c r="I17" i="11"/>
  <c r="J17" i="11" s="1"/>
  <c r="I45" i="11"/>
  <c r="J45" i="11" s="1"/>
  <c r="F65" i="11" l="1"/>
  <c r="I32" i="11"/>
  <c r="J32" i="11" s="1"/>
  <c r="I15" i="11"/>
  <c r="J15" i="11" s="1"/>
  <c r="I39" i="11" l="1"/>
  <c r="J39" i="11" s="1"/>
  <c r="G64" i="17"/>
  <c r="G47" i="17" l="1"/>
  <c r="F47" i="17"/>
  <c r="G13" i="17"/>
  <c r="I41" i="11" l="1"/>
  <c r="J41" i="11" s="1"/>
  <c r="G29" i="11"/>
  <c r="G35" i="11"/>
  <c r="G28" i="11" l="1"/>
  <c r="G41" i="11" l="1"/>
  <c r="G32" i="11" l="1"/>
  <c r="G27" i="11" l="1"/>
  <c r="F10" i="11" l="1"/>
  <c r="F68" i="11" s="1"/>
  <c r="G53" i="11"/>
  <c r="G52" i="11"/>
  <c r="F59" i="11" l="1"/>
  <c r="G54" i="11"/>
  <c r="F55" i="11"/>
  <c r="G19" i="11" l="1"/>
  <c r="G20" i="11"/>
  <c r="G21" i="11"/>
  <c r="G42" i="11"/>
  <c r="G25" i="11"/>
  <c r="G44" i="11"/>
  <c r="G23" i="11"/>
  <c r="G24" i="11"/>
  <c r="G33" i="11"/>
  <c r="G34" i="11"/>
  <c r="G36" i="11"/>
  <c r="G38" i="11"/>
  <c r="G39" i="11"/>
  <c r="E55" i="11"/>
  <c r="I55" i="11" s="1"/>
  <c r="J55" i="11" s="1"/>
  <c r="G14" i="11"/>
  <c r="G55" i="11" l="1"/>
  <c r="G37" i="11"/>
  <c r="G40" i="11"/>
  <c r="G22" i="11"/>
  <c r="E10" i="11"/>
  <c r="G15" i="11"/>
  <c r="E59" i="11" l="1"/>
  <c r="G10" i="11"/>
  <c r="E60" i="11"/>
  <c r="E61" i="11" s="1"/>
  <c r="G43" i="11"/>
  <c r="G26" i="11"/>
  <c r="G13" i="11"/>
  <c r="G49" i="11" l="1"/>
  <c r="I49" i="11"/>
  <c r="J49" i="11" s="1"/>
  <c r="F60" i="11" l="1"/>
  <c r="G60" i="11" l="1"/>
  <c r="I60" i="11"/>
  <c r="J6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tc={0BD08D6E-F742-2848-80BB-634A84E782F5}</author>
  </authors>
  <commentList>
    <comment ref="H24" authorId="0" shapeId="0" xr:uid="{0BD08D6E-F742-2848-80BB-634A84E782F5}">
      <text>
        <t>[Threaded comment]
Your version of Excel allows you to read this threaded comment; however, any edits to it will get removed if the file is opened in a newer version of Excel. Learn more: https://go.microsoft.com/fwlink/?linkid=870924
Comment:
    Allotment Water Supply (Actual reading 23/5/25. Previous Actual 25/1/24) (Charge increased from £1.9706 to £2.7702 /m3 1st April 2025)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102" authorId="0" shapeId="0" xr:uid="{ABC737B0-3119-8F41-A2BB-1F906DE57897}">
      <text>
        <r>
          <rPr>
            <sz val="10"/>
            <color rgb="FF000000"/>
            <rFont val="Arial"/>
            <family val="34"/>
          </rPr>
          <t>Amount repaid to MBirch inc VAT. VAT of £3.18 reclaimed by &amp; paid to SIPC</t>
        </r>
        <r>
          <rPr>
            <sz val="10"/>
            <color rgb="FF000000"/>
            <rFont val="Arial"/>
            <family val="34"/>
          </rPr>
          <t xml:space="preserve">
</t>
        </r>
      </text>
    </comment>
  </commentList>
</comments>
</file>

<file path=xl/sharedStrings.xml><?xml version="1.0" encoding="utf-8"?>
<sst xmlns="http://schemas.openxmlformats.org/spreadsheetml/2006/main" count="1825" uniqueCount="852">
  <si>
    <t>CATEGORY</t>
  </si>
  <si>
    <t>CODE</t>
  </si>
  <si>
    <t>ITEM IN BUDGET</t>
  </si>
  <si>
    <t>Income:</t>
  </si>
  <si>
    <t>INC01</t>
  </si>
  <si>
    <t>Precept </t>
  </si>
  <si>
    <t>INC02</t>
  </si>
  <si>
    <t>Allotments rent</t>
  </si>
  <si>
    <t>INC03</t>
  </si>
  <si>
    <t>INC04</t>
  </si>
  <si>
    <t>Sub-Total</t>
  </si>
  <si>
    <t>Expenditure: revenue</t>
  </si>
  <si>
    <t>Administration</t>
  </si>
  <si>
    <t>ADMIN01</t>
  </si>
  <si>
    <t>Clerk's salary</t>
  </si>
  <si>
    <t>ADMIN02</t>
  </si>
  <si>
    <t>Clerk's overtime</t>
  </si>
  <si>
    <t>ADMIN03</t>
  </si>
  <si>
    <t>RFO's salary</t>
  </si>
  <si>
    <t>ADMIN04</t>
  </si>
  <si>
    <t>Office expenses</t>
  </si>
  <si>
    <t>ADMIN05</t>
  </si>
  <si>
    <t>Insurance</t>
  </si>
  <si>
    <t>ADMIN06</t>
  </si>
  <si>
    <t>Audit fees </t>
  </si>
  <si>
    <t>ADMIN07</t>
  </si>
  <si>
    <t>Bank charges</t>
  </si>
  <si>
    <t>ADMIN08</t>
  </si>
  <si>
    <t>Training</t>
  </si>
  <si>
    <t>Subscriptions</t>
  </si>
  <si>
    <t>SUBS01</t>
  </si>
  <si>
    <t>SSALC</t>
  </si>
  <si>
    <t>SUBS03</t>
  </si>
  <si>
    <t>SLCC</t>
  </si>
  <si>
    <t>SUBS04</t>
  </si>
  <si>
    <t>Legal costs</t>
  </si>
  <si>
    <t>LEGAL01</t>
  </si>
  <si>
    <t>Communication</t>
  </si>
  <si>
    <t>COMMS01</t>
  </si>
  <si>
    <t>COMMS02</t>
  </si>
  <si>
    <t>Election expenses</t>
  </si>
  <si>
    <t>Memorial Hall</t>
  </si>
  <si>
    <t>MH01</t>
  </si>
  <si>
    <t>Public Works Loan Board</t>
  </si>
  <si>
    <t>MH02</t>
  </si>
  <si>
    <t>Hire of hall</t>
  </si>
  <si>
    <t>Allotments</t>
  </si>
  <si>
    <t>ALL01</t>
  </si>
  <si>
    <t>ALL02</t>
  </si>
  <si>
    <t xml:space="preserve">Grounds Maintenance </t>
  </si>
  <si>
    <t>GM01</t>
  </si>
  <si>
    <t>GM03</t>
  </si>
  <si>
    <t>Play equipment inspection</t>
  </si>
  <si>
    <t>GM04</t>
  </si>
  <si>
    <t>Play equipment maintenance</t>
  </si>
  <si>
    <t>GM05</t>
  </si>
  <si>
    <t>GM06</t>
  </si>
  <si>
    <t>Wild flower planting - phase 1</t>
  </si>
  <si>
    <t>GM07</t>
  </si>
  <si>
    <t>Litter bins / grit bins</t>
  </si>
  <si>
    <t>GM08</t>
  </si>
  <si>
    <t>GM09</t>
  </si>
  <si>
    <t>Expenditure: capital</t>
  </si>
  <si>
    <t>(excluding any grant funding)</t>
  </si>
  <si>
    <t>CAP01</t>
  </si>
  <si>
    <t>Car parking survey &amp; planning</t>
  </si>
  <si>
    <t>CAP02</t>
  </si>
  <si>
    <t>CAP03</t>
  </si>
  <si>
    <t>Contingency @ 10% of precept</t>
  </si>
  <si>
    <t>Total Income</t>
  </si>
  <si>
    <t>Total Expenditure (revenue &amp; capital) and Contingency</t>
  </si>
  <si>
    <t>Surplus/Deficit</t>
  </si>
  <si>
    <t>Council Tax Band D</t>
  </si>
  <si>
    <t>Opening bank per AGAR</t>
  </si>
  <si>
    <t>Opening bank</t>
  </si>
  <si>
    <t>check</t>
  </si>
  <si>
    <t>POSTINGS:</t>
  </si>
  <si>
    <t>BLUE = RECEIPTS</t>
  </si>
  <si>
    <t>RED = EXPENDITURE</t>
  </si>
  <si>
    <t>AMOUNT</t>
  </si>
  <si>
    <t>BANK</t>
  </si>
  <si>
    <t>DATE</t>
  </si>
  <si>
    <t>Ref No</t>
  </si>
  <si>
    <t>VAT ref</t>
  </si>
  <si>
    <t>Budget Ref</t>
  </si>
  <si>
    <t>Income</t>
  </si>
  <si>
    <t>Expenditure</t>
  </si>
  <si>
    <t>Expenses Inc VAT</t>
  </si>
  <si>
    <t>Input VAT</t>
  </si>
  <si>
    <t>Expenses Ex VAT</t>
  </si>
  <si>
    <t>CURRENT    a/c postings</t>
  </si>
  <si>
    <t>REC</t>
  </si>
  <si>
    <t>CURRENT    a/c balance</t>
  </si>
  <si>
    <t>Chichester District Council</t>
  </si>
  <si>
    <t>WSALC</t>
  </si>
  <si>
    <t>Morag Birch</t>
  </si>
  <si>
    <t>Business Stream</t>
  </si>
  <si>
    <t>Datacenta</t>
  </si>
  <si>
    <t>COMMS03</t>
  </si>
  <si>
    <t>ICO Annual Data Fee</t>
  </si>
  <si>
    <t>Website Domain &amp; Email Accounts</t>
  </si>
  <si>
    <t>Payee</t>
  </si>
  <si>
    <t>Item</t>
  </si>
  <si>
    <t>Remove VAT</t>
  </si>
  <si>
    <t>Closing per Activity page</t>
  </si>
  <si>
    <t>Paper Copy</t>
  </si>
  <si>
    <t>y</t>
  </si>
  <si>
    <t xml:space="preserve">Item </t>
  </si>
  <si>
    <t>VAT Amount</t>
  </si>
  <si>
    <t>VAT No</t>
  </si>
  <si>
    <t>GB727255821</t>
  </si>
  <si>
    <t>Date of Invoice</t>
  </si>
  <si>
    <t>Invoice amount (inc VAT)</t>
  </si>
  <si>
    <t>Mulberry &amp; Co</t>
  </si>
  <si>
    <t>Year End Finance Training</t>
  </si>
  <si>
    <t>xxx</t>
  </si>
  <si>
    <t>Shed for Emergency Equipment</t>
  </si>
  <si>
    <t>A Hollingshead</t>
  </si>
  <si>
    <t>Padlock Emergency Equipment  Shed</t>
  </si>
  <si>
    <t>SIPC</t>
  </si>
  <si>
    <t>inv 00008099</t>
  </si>
  <si>
    <t>Councillor Briefing 10th March 2020</t>
  </si>
  <si>
    <t>Bin Collection</t>
  </si>
  <si>
    <t>VAT126 Claim 1st Feb to 31st Mar 2020 (VAT126 FEB20-MAR20)</t>
  </si>
  <si>
    <t>GB899727928</t>
  </si>
  <si>
    <t>503-8991-31</t>
  </si>
  <si>
    <t>Clerk:FEB Exp Printer Consumables</t>
  </si>
  <si>
    <t>Clerk:FEB Exp Printing</t>
  </si>
  <si>
    <t>Tree Inspection</t>
  </si>
  <si>
    <t>M H Kennedy &amp; Son Ltd</t>
  </si>
  <si>
    <t>Comments</t>
  </si>
  <si>
    <t>Grass cutting - Stedham &amp; Iping</t>
  </si>
  <si>
    <t>Grasscutting July  2020</t>
  </si>
  <si>
    <t>% of Budget Spent to date</t>
  </si>
  <si>
    <t>Amanda Hollingshead</t>
  </si>
  <si>
    <t>Grasscutting August  2020</t>
  </si>
  <si>
    <t>Playsafe Playgrounds Ltd</t>
  </si>
  <si>
    <t>Planning Portal</t>
  </si>
  <si>
    <t>Clerk Online Training</t>
  </si>
  <si>
    <t>PP09043808</t>
  </si>
  <si>
    <t>S K Electrical &amp; Security Systems Ltd</t>
  </si>
  <si>
    <t>2 x Telephone Box Inspection</t>
  </si>
  <si>
    <t>S5691</t>
  </si>
  <si>
    <t>Training Budget Planning Workshop</t>
  </si>
  <si>
    <t xml:space="preserve">(including Churches, Common View </t>
  </si>
  <si>
    <t>&amp; Recreation Ground)</t>
  </si>
  <si>
    <t>COMMS04</t>
  </si>
  <si>
    <t>GM10</t>
  </si>
  <si>
    <t>GM11</t>
  </si>
  <si>
    <t>Planning Applications</t>
  </si>
  <si>
    <t>COMMS05</t>
  </si>
  <si>
    <t>Zoom Video Communications Inc</t>
  </si>
  <si>
    <t>Video Conference Application</t>
  </si>
  <si>
    <t>Grasscutting September 2020</t>
  </si>
  <si>
    <t>KerryType</t>
  </si>
  <si>
    <t>Rotherhill Nursery</t>
  </si>
  <si>
    <t>COMMS06</t>
  </si>
  <si>
    <t>Internal Audit</t>
  </si>
  <si>
    <t>INV-WWPL0737</t>
  </si>
  <si>
    <t>DropBox Annual Subscription</t>
  </si>
  <si>
    <t>Grasscutting October 2020</t>
  </si>
  <si>
    <t>Parish Council Events</t>
  </si>
  <si>
    <t>Festive Modelling Clay 1</t>
  </si>
  <si>
    <t>ADMIN09</t>
  </si>
  <si>
    <t>Parish Council Christmas Events</t>
  </si>
  <si>
    <t>Parish Improvement Projects</t>
  </si>
  <si>
    <t>Festive Modelling Clay 2</t>
  </si>
  <si>
    <t>Festive Bags</t>
  </si>
  <si>
    <t>GB-131099841-2020-161647</t>
  </si>
  <si>
    <t>GB-124723851-2020-1134059</t>
  </si>
  <si>
    <t>1GB-993175675-2020190961</t>
  </si>
  <si>
    <t>Moore East Midlands</t>
  </si>
  <si>
    <t>Audit External</t>
  </si>
  <si>
    <t>Community Health &amp; Wellbeing - Playgrounds</t>
  </si>
  <si>
    <t>VAT126 Claim 1st Apr  to 30th Nov 2020 (VAT126 APR20-NOV20)</t>
  </si>
  <si>
    <t>DHL Parcel UK Ltd</t>
  </si>
  <si>
    <t>GB505447851</t>
  </si>
  <si>
    <t>Print/post Covid-19 information letter letter to Parish</t>
  </si>
  <si>
    <t>Grasscutting June 2020</t>
  </si>
  <si>
    <t>Grasscutting May 2020</t>
  </si>
  <si>
    <t>Annual Playground Safety Inspection</t>
  </si>
  <si>
    <t>Common View Playground Planning Application</t>
  </si>
  <si>
    <t>GB207403052</t>
  </si>
  <si>
    <r>
      <t>SSALC</t>
    </r>
    <r>
      <rPr>
        <sz val="11"/>
        <color theme="1"/>
        <rFont val="Calibri"/>
        <family val="2"/>
        <scheme val="minor"/>
      </rPr>
      <t xml:space="preserve"> Ltd</t>
    </r>
  </si>
  <si>
    <t>Christmas Tree for village green</t>
  </si>
  <si>
    <t>Wallis White &amp; Co (Petersfield) Ltd</t>
  </si>
  <si>
    <t>DropBox International Unlimited Company</t>
  </si>
  <si>
    <t>IE9852817J</t>
  </si>
  <si>
    <t>NewsLetter - mailmerge, envelopes, packing</t>
  </si>
  <si>
    <t>KerryType Ltd</t>
  </si>
  <si>
    <t>Christmas Tree Lights</t>
  </si>
  <si>
    <t>GB150891996</t>
  </si>
  <si>
    <t>BestArtificial</t>
  </si>
  <si>
    <t>Screwfix Chichester</t>
  </si>
  <si>
    <t xml:space="preserve"> Batteries for Christmas Tree Lights</t>
  </si>
  <si>
    <t>e-Mango</t>
  </si>
  <si>
    <t>LC-905 Annual Service Fee</t>
  </si>
  <si>
    <t>Madani Shop Ltd</t>
  </si>
  <si>
    <t>Clerk: Apr Exp Printer Consumables</t>
  </si>
  <si>
    <t>GB744541532</t>
  </si>
  <si>
    <t>GB117541528</t>
  </si>
  <si>
    <t>Non-Union Mini One Stop Shop (‘MOSS’) in the EU</t>
  </si>
  <si>
    <t>Amazon EU S.a.r.l UK Branch</t>
  </si>
  <si>
    <t>Clerk: Jul Exp Printer Consumables</t>
  </si>
  <si>
    <t>£4.99 Not included in 22/12/20 submission</t>
  </si>
  <si>
    <t>Clerk: Monthly Fee APR 2020</t>
  </si>
  <si>
    <t>Clerk: Monthly Fee MAY 2020</t>
  </si>
  <si>
    <t>Clerk: Monthly Fee JUN 2020</t>
  </si>
  <si>
    <t>Clerk: Monthly Fee JUL 2020</t>
  </si>
  <si>
    <t>Clerk: Annual Fee 13/7/2020 - 12/07/2021</t>
  </si>
  <si>
    <t>Submission Ref: 14VW-IIFP-4O60</t>
  </si>
  <si>
    <t>Telephone Box Lights</t>
  </si>
  <si>
    <t>S6007</t>
  </si>
  <si>
    <t>Other income - VAT126</t>
  </si>
  <si>
    <t>New Equipment Installation</t>
  </si>
  <si>
    <t>Annual Maintenance</t>
  </si>
  <si>
    <t>Councillor Training</t>
  </si>
  <si>
    <t>NewsLetter Mar21 mailmerge, envelopes, packing</t>
  </si>
  <si>
    <t>PDF Element Annual Subscription</t>
  </si>
  <si>
    <t>B0TR264830N318760B</t>
  </si>
  <si>
    <t>WK00241753</t>
  </si>
  <si>
    <t>Dog Sign (from Seton Signs)</t>
  </si>
  <si>
    <t>2 x AED Pads (from WEL Medical Ltd)</t>
  </si>
  <si>
    <t>GB751938114</t>
  </si>
  <si>
    <t>GB318865470</t>
  </si>
  <si>
    <t>GB128535409</t>
  </si>
  <si>
    <t>GB747879854</t>
  </si>
  <si>
    <t>Stationery Consumbles</t>
  </si>
  <si>
    <t>026-64700606-8088349</t>
  </si>
  <si>
    <t>GB278739441</t>
  </si>
  <si>
    <t>Allotment Skip Hire 9th-12th April</t>
  </si>
  <si>
    <t>Neil Read</t>
  </si>
  <si>
    <t>Grass-Cutting March 2021</t>
  </si>
  <si>
    <t>Newsletter, Other  Communications to all parishioners, eg Covid-letter</t>
  </si>
  <si>
    <t>10 x Email Accounts (Billed 26/10/20)</t>
  </si>
  <si>
    <t>Bin Emptying</t>
  </si>
  <si>
    <t>Grass-Cutting April 2021</t>
  </si>
  <si>
    <t>Purchase Masks &amp; Sanitiser</t>
  </si>
  <si>
    <t>Grass-Cutting May 2021</t>
  </si>
  <si>
    <t>Email</t>
  </si>
  <si>
    <t>Paint &amp; Spares for repair of Phone Box</t>
  </si>
  <si>
    <t>Wallis White &amp; Co Petersfield</t>
  </si>
  <si>
    <t>Internal Audit Accounts 2020-21</t>
  </si>
  <si>
    <t>Grass cut June 2021</t>
  </si>
  <si>
    <t>1609-6271</t>
  </si>
  <si>
    <t>WWPL1137</t>
  </si>
  <si>
    <t>Garden Machinery Centre Ltd</t>
  </si>
  <si>
    <t>Zoom Annual Subscription 2021-22</t>
  </si>
  <si>
    <t>Grass-Cutting July 2021</t>
  </si>
  <si>
    <t>Receipt</t>
  </si>
  <si>
    <t>Grass-Cutting August 2021</t>
  </si>
  <si>
    <t>Actual
To Date
(Exc VAT)</t>
  </si>
  <si>
    <t>Budget Left 
To Date</t>
  </si>
  <si>
    <t>10 x Email Accounts</t>
  </si>
  <si>
    <t>Grass-Cutting September 2021</t>
  </si>
  <si>
    <t>Ruth Cooper</t>
  </si>
  <si>
    <t>2 x Councillor Training Courses</t>
  </si>
  <si>
    <t>External Audit</t>
  </si>
  <si>
    <t>Grass-Cutting October 2021</t>
  </si>
  <si>
    <t>DropBox Plus Annual Subscription (9/11/2022)</t>
  </si>
  <si>
    <t>Renewal of Domain name (30/11/2021 - 29/11/2023)</t>
  </si>
  <si>
    <t>Rotherhill Nurseries</t>
  </si>
  <si>
    <t>Cut Christmas Tree</t>
  </si>
  <si>
    <t>Datacenta/e-mango</t>
  </si>
  <si>
    <t>LC905 Annual Service Charge</t>
  </si>
  <si>
    <t>RGP44QDFD2L1</t>
  </si>
  <si>
    <t>Grass-Cutting November 2021</t>
  </si>
  <si>
    <t>VAT126 Claim 1st Dec to 31st Mar 2021 (VAT126 DEC20-MAR21)</t>
  </si>
  <si>
    <t>VAT126 Claim 1st Apr 2021 to 31st December 2021 (VAT126 APR21-DEC21)</t>
  </si>
  <si>
    <t>Date Paid</t>
  </si>
  <si>
    <t>Allotment Skip Hire 9th-12th April Road Permit Charge</t>
  </si>
  <si>
    <t>Allotment Mower Maintenance</t>
  </si>
  <si>
    <t>GB373142903</t>
  </si>
  <si>
    <t>Christmas &amp;  Liquid Amber Treess</t>
  </si>
  <si>
    <t>CHRISTMAS TREE</t>
  </si>
  <si>
    <t>B8T261939G2901563X</t>
  </si>
  <si>
    <t>B4YT1071121735090U</t>
  </si>
  <si>
    <t>PDFelement Pro Annual Subscription</t>
  </si>
  <si>
    <t xml:space="preserve">PDFelement Annual Subscription </t>
  </si>
  <si>
    <t>Christmas Tree Field Box</t>
  </si>
  <si>
    <t>GB1696177045-2021-549</t>
  </si>
  <si>
    <t>GB389745624</t>
  </si>
  <si>
    <t>Christmas Tree Transformer</t>
  </si>
  <si>
    <t>Christmas Tree Battery</t>
  </si>
  <si>
    <t>GB863194017</t>
  </si>
  <si>
    <t>Claim submitted 6/1/2022</t>
  </si>
  <si>
    <t>Simon Barnard</t>
  </si>
  <si>
    <t>Padlock for Battery Box</t>
  </si>
  <si>
    <t>JR Treecare</t>
  </si>
  <si>
    <t>Hedge Cutting</t>
  </si>
  <si>
    <t>GB2567OKAEUI</t>
  </si>
  <si>
    <t>Playsafe Playgrounds</t>
  </si>
  <si>
    <t>2 x Finance Training Coursees</t>
  </si>
  <si>
    <t>Annual Maintenance Inspection</t>
  </si>
  <si>
    <t>Bin Emptying/Collection</t>
  </si>
  <si>
    <t>March 2022 Grass Cut</t>
  </si>
  <si>
    <t>Stedham Memorial Hall</t>
  </si>
  <si>
    <t>Annual Subscription 2022-23</t>
  </si>
  <si>
    <t>Tree works at Iping Church</t>
  </si>
  <si>
    <t>Parish Organisation Fund</t>
  </si>
  <si>
    <t>All maintenance moved to OpEx</t>
  </si>
  <si>
    <t>Jubilee Gift - Sample</t>
  </si>
  <si>
    <t>SAGN00533</t>
  </si>
  <si>
    <t>Jubilee Gift - 100 units</t>
  </si>
  <si>
    <t>AGN44664</t>
  </si>
  <si>
    <t>Grass Cut April 2022</t>
  </si>
  <si>
    <t>Geoxphere Ltd (Parish Online)</t>
  </si>
  <si>
    <t>45UD051-0008</t>
  </si>
  <si>
    <t>Repaint Football posts &amp; New Nets</t>
  </si>
  <si>
    <t>Jubilee Tombola Prizes</t>
  </si>
  <si>
    <t>Play Equipment installation Recreation Ground</t>
  </si>
  <si>
    <t>Play Equipment installation Common View</t>
  </si>
  <si>
    <t>JR TreeCare</t>
  </si>
  <si>
    <t>Supply &amp; fit 2 x Gateposts at Stedham Graveyard</t>
  </si>
  <si>
    <t>Hannah Burton</t>
  </si>
  <si>
    <t>Jubilee Games &amp; Floats</t>
  </si>
  <si>
    <t>Various</t>
  </si>
  <si>
    <t>GB23FQULLAEUI</t>
  </si>
  <si>
    <t>RCD Adaptor</t>
  </si>
  <si>
    <t>Grass Cut May 2022</t>
  </si>
  <si>
    <t>Caroline Douglas</t>
  </si>
  <si>
    <t>Jubilee Game</t>
  </si>
  <si>
    <t>Receipts</t>
  </si>
  <si>
    <t>Grass Cut June 2022</t>
  </si>
  <si>
    <t>Supply &amp; fit fasteners to gates Stedham Graveyard</t>
  </si>
  <si>
    <t>Woodchip Supply/Delivery</t>
  </si>
  <si>
    <t>Removal of snapped branch</t>
  </si>
  <si>
    <t>Grass Cut July 2022</t>
  </si>
  <si>
    <t>M Birch</t>
  </si>
  <si>
    <t>VAT126 Claim 1st Jan 2022 to 31st Mar 2022 (VAT126 JAN22-MAR22)</t>
  </si>
  <si>
    <t>GB580248244</t>
  </si>
  <si>
    <t>GB296312096</t>
  </si>
  <si>
    <t>GB220430231</t>
  </si>
  <si>
    <t>GB190023639</t>
  </si>
  <si>
    <t>GB685687368</t>
  </si>
  <si>
    <t>GB350396892</t>
  </si>
  <si>
    <t>VAT126 Claim 1st Apr 2022 to 31st July 2022 (VAT126 APR22-JUL22)</t>
  </si>
  <si>
    <t>Pre-order of Local Council Admin Book</t>
  </si>
  <si>
    <t>ORD508497-1</t>
  </si>
  <si>
    <t>ID Badge Inserts or Annual Parish Meeting</t>
  </si>
  <si>
    <t>ID Badge Holders for Annual Parish Meeting</t>
  </si>
  <si>
    <t>179707701-2022-3820</t>
  </si>
  <si>
    <t>Annual External Audit</t>
  </si>
  <si>
    <t>Grass Cut September 2022</t>
  </si>
  <si>
    <t>Purchase wild daffodil bulbs</t>
  </si>
  <si>
    <t>Order 9526</t>
  </si>
  <si>
    <t>Food &amp; Drink for APM</t>
  </si>
  <si>
    <t>10 Email Accounts 30/11/22-29/11/23</t>
  </si>
  <si>
    <t>Printing of Nov22 Newsletter</t>
  </si>
  <si>
    <t>Partnership Invoice (Blackdown Printers)</t>
  </si>
  <si>
    <t>DataCenta Hosting(E-mango)</t>
  </si>
  <si>
    <t>Hedge &amp; Tree Works</t>
  </si>
  <si>
    <t>HDMI Cable</t>
  </si>
  <si>
    <t>GB27KQ1JFAEUI</t>
  </si>
  <si>
    <t>Invoice 7/12</t>
  </si>
  <si>
    <t>Battery for Xmas Tree Lights</t>
  </si>
  <si>
    <t>imperative training - defibshop</t>
  </si>
  <si>
    <t>AED Battery</t>
  </si>
  <si>
    <t>GBR</t>
  </si>
  <si>
    <t>2 x Training Courses</t>
  </si>
  <si>
    <t>Repair &amp; Maintenance Quote 40222</t>
  </si>
  <si>
    <t>Grasscut November 2022</t>
  </si>
  <si>
    <t>Training Course</t>
  </si>
  <si>
    <t>Wondershare PDF Subscription</t>
  </si>
  <si>
    <t>us20230228014173</t>
  </si>
  <si>
    <t>Grass Cut February 2023</t>
  </si>
  <si>
    <t>2 x NALC Training Courses - Emergency Planning</t>
  </si>
  <si>
    <t>VAT126 Claim 1st August 2022 to 31st March 2023 (VAT126 AUG22-MAR23)</t>
  </si>
  <si>
    <t>GB318659178</t>
  </si>
  <si>
    <t>GB233410214</t>
  </si>
  <si>
    <t>Stedham Telephone Box Cupboard Fittings</t>
  </si>
  <si>
    <t>Stedham Telephone Box Cupboard Perspex</t>
  </si>
  <si>
    <t>Stedham Telephone Box Cupboard Varnish</t>
  </si>
  <si>
    <t>Annual Playground Inspection</t>
  </si>
  <si>
    <t>Bin emptying Apr2022 to Mar2023</t>
  </si>
  <si>
    <t>60289225X</t>
  </si>
  <si>
    <t>Grants: NHB &amp; CIL</t>
  </si>
  <si>
    <t>Other income: Grants, Donations, Fund Raising</t>
  </si>
  <si>
    <t>Clerk: March Pay</t>
  </si>
  <si>
    <t>Clerk: March Expense</t>
  </si>
  <si>
    <t>T Stevens</t>
  </si>
  <si>
    <t>AGAR Box</t>
  </si>
  <si>
    <t>Box2</t>
  </si>
  <si>
    <t>Box3</t>
  </si>
  <si>
    <t>Box4</t>
  </si>
  <si>
    <t>Box6</t>
  </si>
  <si>
    <t>Box5</t>
  </si>
  <si>
    <t>Hillier Nurseries</t>
  </si>
  <si>
    <t>Coronation Bench for Common View</t>
  </si>
  <si>
    <t>000001829</t>
  </si>
  <si>
    <t>5 x Cherry Trees for CV Playground</t>
  </si>
  <si>
    <t>5 x Stakes_Ties for Cherry Trees</t>
  </si>
  <si>
    <t>New Councillor Training</t>
  </si>
  <si>
    <t>Geoxsphere Ltd</t>
  </si>
  <si>
    <t>Parish Online Annual Fee</t>
  </si>
  <si>
    <t>M H Kennedy &amp; Son</t>
  </si>
  <si>
    <t>April 23 Grasscut</t>
  </si>
  <si>
    <t>First Aid Kit for Parish Events</t>
  </si>
  <si>
    <t>AED Pads (WEL Medical)</t>
  </si>
  <si>
    <t>Amanda Hollings head</t>
  </si>
  <si>
    <t>Annual Parish Meeting Drinks</t>
  </si>
  <si>
    <t>May 23 Grasscut</t>
  </si>
  <si>
    <t>2 x Picnic Tables for Common View</t>
  </si>
  <si>
    <t>1 x A1 A-Board Pavement Sign</t>
  </si>
  <si>
    <t>INV-Gb-136622421</t>
  </si>
  <si>
    <t>June 23 Grasscut</t>
  </si>
  <si>
    <t>Chair's Training Course</t>
  </si>
  <si>
    <t>July 23 Grasscut</t>
  </si>
  <si>
    <t>Annual Inspection</t>
  </si>
  <si>
    <t>Allotment &amp; Playground rent</t>
  </si>
  <si>
    <t>External Audit 2022-23</t>
  </si>
  <si>
    <t>I270651</t>
  </si>
  <si>
    <t>August 23 Grasscut</t>
  </si>
  <si>
    <t>J Simon</t>
  </si>
  <si>
    <t>Installation Play Equipment Common View</t>
  </si>
  <si>
    <t>Mulled Wine &amp; Mileage - SSA Fireworks 291023</t>
  </si>
  <si>
    <t>Annual Hedge &amp; Tree Maintenance</t>
  </si>
  <si>
    <t>DataCenta</t>
  </si>
  <si>
    <t>Bi-annual Domain Renewal @ Annual fee for 10 x Email Accounts</t>
  </si>
  <si>
    <t>Nos Attending</t>
  </si>
  <si>
    <t>September Event - £357.72</t>
  </si>
  <si>
    <t>Christmas Tree Common View</t>
  </si>
  <si>
    <t>Stationery - Consumables</t>
  </si>
  <si>
    <t>Tea Club 11th December 2023 - Additional Food &amp; Consumables</t>
  </si>
  <si>
    <t>DataCenta Hosting</t>
  </si>
  <si>
    <t>LC-905 Annual Service Charge</t>
  </si>
  <si>
    <t>Terry Stevens</t>
  </si>
  <si>
    <t>Padlock for battery box</t>
  </si>
  <si>
    <t xml:space="preserve">September 23 Grasscut </t>
  </si>
  <si>
    <t xml:space="preserve">October 23 Grasscut </t>
  </si>
  <si>
    <t>Tea Club 180923 Consumables</t>
  </si>
  <si>
    <t>Tea Club 180923 Food</t>
  </si>
  <si>
    <t>Tea ClubJan&amp;Feb23 - Food purchases</t>
  </si>
  <si>
    <t>Tea Club 11122023 - Tilly's Costs</t>
  </si>
  <si>
    <t>Tea Club 11122023 - Additional Food &amp; Consumables</t>
  </si>
  <si>
    <t>Tea Club 11122023 - Donations</t>
  </si>
  <si>
    <t>Tea Club 11122023 - Hall Hire</t>
  </si>
  <si>
    <t>Tea Club 18/09/23 - Hall Hire</t>
  </si>
  <si>
    <t>Tea Club 180923 Food &amp; Drink(Tilly's)</t>
  </si>
  <si>
    <t>December Event - £311.32</t>
  </si>
  <si>
    <t>Income - £74.22</t>
  </si>
  <si>
    <t>GB41GW4RAEUI</t>
  </si>
  <si>
    <t>2 Packs Laminating Pouches</t>
  </si>
  <si>
    <t>2 x NALC Training Courses</t>
  </si>
  <si>
    <t>GB207898134</t>
  </si>
  <si>
    <t>GB37P2GL0AEUI</t>
  </si>
  <si>
    <t>GB305961209</t>
  </si>
  <si>
    <t>GB237397673</t>
  </si>
  <si>
    <t>GB382454022</t>
  </si>
  <si>
    <t>GB286704473</t>
  </si>
  <si>
    <t>GB682617905</t>
  </si>
  <si>
    <t>GB382808430</t>
  </si>
  <si>
    <t>Annual Tree&amp;Hedge Maintenace</t>
  </si>
  <si>
    <t>Wondershare PDF Element Annual Subscription</t>
  </si>
  <si>
    <t>INV24060000322E</t>
  </si>
  <si>
    <t>VAT126 Claim 1st April 2023 to 29th February 2024 (VAT126 APR23-FEB24)</t>
  </si>
  <si>
    <t xml:space="preserve">Bin Emptying 2023-24 </t>
  </si>
  <si>
    <t>Tea Club Receipts 25/03 2024</t>
  </si>
  <si>
    <t>Tea Club Hall Hire 25/03/2024</t>
  </si>
  <si>
    <t>A4 Plastic Punch Pockets</t>
  </si>
  <si>
    <t>GB390CO50AEUI</t>
  </si>
  <si>
    <t>A5 White Envelopes 4pks x 30</t>
  </si>
  <si>
    <t>GB127696571</t>
  </si>
  <si>
    <t>GB119347704</t>
  </si>
  <si>
    <t>Batteries</t>
  </si>
  <si>
    <t>GB161430851</t>
  </si>
  <si>
    <t>GB992315894</t>
  </si>
  <si>
    <t>RFO: March Pay</t>
  </si>
  <si>
    <t>Removal of fallen Tree Branch</t>
  </si>
  <si>
    <t>Grasscut March 2024</t>
  </si>
  <si>
    <t>Tea Club Consumables  25/03 2024</t>
  </si>
  <si>
    <t>March Event - £260.50</t>
  </si>
  <si>
    <t>Income - £110</t>
  </si>
  <si>
    <t>Installation of Roundabout CV playground</t>
  </si>
  <si>
    <t>Tea Club Consumables  25/03/2024 (Inc 24/25 Year)</t>
  </si>
  <si>
    <t>Tree &amp; Hedge Maintenance</t>
  </si>
  <si>
    <t>General Parish Maintenance (Inc H&amp;S, Emergency Equipment)</t>
  </si>
  <si>
    <t>COMMS07</t>
  </si>
  <si>
    <t>Tea Club</t>
  </si>
  <si>
    <t>CGW Chestnut Fencing</t>
  </si>
  <si>
    <t>Allotment Fencing</t>
  </si>
  <si>
    <t>Geoxphere Ltd</t>
  </si>
  <si>
    <t>Parish On Line Annual Fee</t>
  </si>
  <si>
    <t>45UD051-0010</t>
  </si>
  <si>
    <t>136622421-2024</t>
  </si>
  <si>
    <t>Mulberry LA Services Ltd</t>
  </si>
  <si>
    <t>Internal Audit 2023-24</t>
  </si>
  <si>
    <t>INV-0137</t>
  </si>
  <si>
    <t>Wildflower Plugs - Yellow Rattle</t>
  </si>
  <si>
    <t>April 24 Grasscut</t>
  </si>
  <si>
    <t>May 24 Grasscut</t>
  </si>
  <si>
    <t>June 24 Grasscut</t>
  </si>
  <si>
    <t>July 24 Grasscut</t>
  </si>
  <si>
    <t>External Audit 2023-24</t>
  </si>
  <si>
    <t>August 24 Grasscut</t>
  </si>
  <si>
    <t>Stedham Fingerpost upgrade</t>
  </si>
  <si>
    <t>New Gate &amp; Safamulch path &amp; Dome</t>
  </si>
  <si>
    <t>Mulled Wine_Float</t>
  </si>
  <si>
    <t>Grasscut September 2024</t>
  </si>
  <si>
    <t>RBL Tommy Silouette</t>
  </si>
  <si>
    <t>Suggestion Box Replacement Locks</t>
  </si>
  <si>
    <t>Hooli Ltd Printers</t>
  </si>
  <si>
    <t>Printing Newsletter November 2024</t>
  </si>
  <si>
    <t>SI-16563</t>
  </si>
  <si>
    <t>Grasscut October 2024</t>
  </si>
  <si>
    <t>X-Net(DataCenta)</t>
  </si>
  <si>
    <t>Battery Charger for Xmas Tree Lights</t>
  </si>
  <si>
    <t>Stedham Sports Association</t>
  </si>
  <si>
    <t>Annual Service Charge LC-905</t>
  </si>
  <si>
    <t>Annual Tree &amp; Hedge Maintenance</t>
  </si>
  <si>
    <t>Daffodil Bulbs</t>
  </si>
  <si>
    <t>Inv 291124</t>
  </si>
  <si>
    <t>2 x Cut Christmas Trees</t>
  </si>
  <si>
    <t>A1 A-Board</t>
  </si>
  <si>
    <t>Sealant Strip for A-Board</t>
  </si>
  <si>
    <t>GB-2024-170245271</t>
  </si>
  <si>
    <t>Bungee Cords for A-Board</t>
  </si>
  <si>
    <t>GB-100062931-2024-57339</t>
  </si>
  <si>
    <t>GB749720111</t>
  </si>
  <si>
    <t>GB434095696</t>
  </si>
  <si>
    <t>GB916326234</t>
  </si>
  <si>
    <t>GB214820586</t>
  </si>
  <si>
    <t>GB230379914</t>
  </si>
  <si>
    <t>Tea Club Consumables  04/12/24</t>
  </si>
  <si>
    <t>Tea Club Receipts  04/12/24</t>
  </si>
  <si>
    <t>Tea Club  04/12/24 - Hall Hire</t>
  </si>
  <si>
    <t>Tea Club  04/12/24 - Raffle Prize</t>
  </si>
  <si>
    <t>Income - £115</t>
  </si>
  <si>
    <t>R Cooper</t>
  </si>
  <si>
    <t>Food_Plants Tea Club 4th Dec24</t>
  </si>
  <si>
    <t>Cable Ties for Battery Boxes</t>
  </si>
  <si>
    <t>Wine&amp;Chocs WI Raffle 7th Dec24</t>
  </si>
  <si>
    <t>Cake Stands Tea Club 4th Dec25</t>
  </si>
  <si>
    <t>Inv230762943</t>
  </si>
  <si>
    <t>Nett Costs</t>
  </si>
  <si>
    <t>British Heart Foundation</t>
  </si>
  <si>
    <t>AED &amp; Cabinet for Iping Tel Box</t>
  </si>
  <si>
    <t>S-INV-010501</t>
  </si>
  <si>
    <t>AED Bracket for Tel Box</t>
  </si>
  <si>
    <t>S-INV-010669</t>
  </si>
  <si>
    <t>4 x Defibrillator signs for Iping Tel Box</t>
  </si>
  <si>
    <t>M Hollingshead</t>
  </si>
  <si>
    <t>Materials for repair Iping Bus Shelter</t>
  </si>
  <si>
    <t>02A02830</t>
  </si>
  <si>
    <t>VAT126 Claim 1st March 2024 to 30th November 2024 (VAT126 Mar24-Nov24)</t>
  </si>
  <si>
    <t>Lloyds Bank</t>
  </si>
  <si>
    <t>Annual Fee Wonderhare PDFelement</t>
  </si>
  <si>
    <t>24060000322E</t>
  </si>
  <si>
    <t>Replacement Bench Iping</t>
  </si>
  <si>
    <t>Replacement Padlock for Shed</t>
  </si>
  <si>
    <t>GB-2025-129397536</t>
  </si>
  <si>
    <t>Materials to repair Iping Bus Shelter</t>
  </si>
  <si>
    <t>Easter Club Tea 2nd April Gross Takings</t>
  </si>
  <si>
    <t>Tea Club Consumable 02/04/25</t>
  </si>
  <si>
    <t>Tea Club  02/04/25 - Hall Hire</t>
  </si>
  <si>
    <t>COMMS09</t>
  </si>
  <si>
    <t>Tea Club Receipts  02/04/25</t>
  </si>
  <si>
    <t>Apr25 Event - £118.79</t>
  </si>
  <si>
    <t>Income - £135</t>
  </si>
  <si>
    <t>Dec24 Event - £170.63</t>
  </si>
  <si>
    <t>27Attendees -  +£0.60/person</t>
  </si>
  <si>
    <r>
      <t>22 Attendees -  -£</t>
    </r>
    <r>
      <rPr>
        <sz val="14"/>
        <color rgb="FFFF0000"/>
        <rFont val="Arial"/>
        <family val="2"/>
      </rPr>
      <t>2.52</t>
    </r>
    <r>
      <rPr>
        <sz val="14"/>
        <color theme="1"/>
        <rFont val="Arial"/>
        <family val="2"/>
      </rPr>
      <t>/person</t>
    </r>
  </si>
  <si>
    <r>
      <t>22 Attendees -  -£</t>
    </r>
    <r>
      <rPr>
        <sz val="14"/>
        <color rgb="FFFF0000"/>
        <rFont val="Arial"/>
        <family val="2"/>
      </rPr>
      <t>6.84</t>
    </r>
    <r>
      <rPr>
        <sz val="14"/>
        <color theme="1"/>
        <rFont val="Arial"/>
        <family val="2"/>
      </rPr>
      <t>/person</t>
    </r>
  </si>
  <si>
    <r>
      <t>37 Attendees -  -£</t>
    </r>
    <r>
      <rPr>
        <sz val="14"/>
        <color rgb="FFFF0000"/>
        <rFont val="Arial"/>
        <family val="2"/>
      </rPr>
      <t>6.41</t>
    </r>
    <r>
      <rPr>
        <sz val="14"/>
        <color theme="1"/>
        <rFont val="Arial"/>
        <family val="2"/>
      </rPr>
      <t>/person</t>
    </r>
  </si>
  <si>
    <r>
      <t>eg 35 attendees ~ £</t>
    </r>
    <r>
      <rPr>
        <sz val="14"/>
        <color rgb="FFFF0000"/>
        <rFont val="Arial"/>
        <family val="2"/>
      </rPr>
      <t>10.00</t>
    </r>
    <r>
      <rPr>
        <sz val="14"/>
        <color theme="1"/>
        <rFont val="Arial"/>
        <family val="2"/>
      </rPr>
      <t>/person</t>
    </r>
  </si>
  <si>
    <t>HMRC(Tax Mnth 1 2025-26)</t>
  </si>
  <si>
    <t>Morag Birch(Tax Mnth  1 2025-26)</t>
  </si>
  <si>
    <t>Morag Birch(Tax Mnth 1 2025-26)</t>
  </si>
  <si>
    <t>HMRC(Tax Mnth  1 2025-26)</t>
  </si>
  <si>
    <t>Morag Birch(Tax Mnth 1 2025-26</t>
  </si>
  <si>
    <t>Replacement Light for AED</t>
  </si>
  <si>
    <t>Replacement Batteries for AED</t>
  </si>
  <si>
    <t>50 x 2nd Class Stamps</t>
  </si>
  <si>
    <t>4 x 25 Envelopes for Newsletters</t>
  </si>
  <si>
    <t>Tea Club 2nd April 2025 Consumables</t>
  </si>
  <si>
    <t>Room Hire Easter Tea 02/04/25</t>
  </si>
  <si>
    <t>Hall Hire - Nov24 to Mar25 (Total for 2024-25 £469.50)</t>
  </si>
  <si>
    <t>M H Kennedy</t>
  </si>
  <si>
    <t>Grass Cut March 2025</t>
  </si>
  <si>
    <t>WSALC &amp; NALC Subscriptions(2025-26)</t>
  </si>
  <si>
    <t>Hooli</t>
  </si>
  <si>
    <t>Printing Newsletter April 2025</t>
  </si>
  <si>
    <t>Annual Membership Fee 2025-26 (Due 1st May)</t>
  </si>
  <si>
    <t>GBI-242059222</t>
  </si>
  <si>
    <t>GBI-2006</t>
  </si>
  <si>
    <t>Recepit</t>
  </si>
  <si>
    <t>Invoice22</t>
  </si>
  <si>
    <t>Statement 310325</t>
  </si>
  <si>
    <t>MEM2536 16-1</t>
  </si>
  <si>
    <t>SI-16683</t>
  </si>
  <si>
    <t>CDC VE/VJ Days Grant</t>
  </si>
  <si>
    <t>CDC</t>
  </si>
  <si>
    <t>4 x Bin Emptying 2024-25</t>
  </si>
  <si>
    <t>Paid Out</t>
  </si>
  <si>
    <t>Paid In</t>
  </si>
  <si>
    <t>Bank Statements</t>
  </si>
  <si>
    <t>Closing balance as per Cash Book</t>
  </si>
  <si>
    <t>Add: Receipts in the year</t>
  </si>
  <si>
    <t>Less: Payments in the year</t>
  </si>
  <si>
    <t>Cash Book</t>
  </si>
  <si>
    <t xml:space="preserve"> </t>
  </si>
  <si>
    <t>Add Income for 2023/24 but not cleared</t>
  </si>
  <si>
    <t>Less Uncleared Payments at 31st March 2024</t>
  </si>
  <si>
    <t>Lloyds Current Account</t>
  </si>
  <si>
    <t>Balance as per Bank Statement 31st March 2024</t>
  </si>
  <si>
    <t>Prepared by Morag Birch Clerk &amp; Responsible Finance Officer April 2024</t>
  </si>
  <si>
    <t>BANK RECONCILIATION</t>
  </si>
  <si>
    <t>STEDHAM WITH IPING PARISH COUNCIL</t>
  </si>
  <si>
    <t>Precept 2025-26 1st Installment</t>
  </si>
  <si>
    <t>Financial Year Ending 31st March 2025</t>
  </si>
  <si>
    <t>Net Balance as at 31st March 2025</t>
  </si>
  <si>
    <t>Opening Balance 1st April 2025</t>
  </si>
  <si>
    <t>VAT126 Claim 1st December 2024 to 31st March 2025 (VAT126 Nov24-Mar25)</t>
  </si>
  <si>
    <t>Input Date</t>
  </si>
  <si>
    <t>GB626921824</t>
  </si>
  <si>
    <t>GB408556737</t>
  </si>
  <si>
    <t>GB204206365</t>
  </si>
  <si>
    <t>Bank Monthly Service Charges</t>
  </si>
  <si>
    <t>Allotment Water Supply Jan-Apr DD</t>
  </si>
  <si>
    <t>VAT126 Claim Dec24 to Mar25</t>
  </si>
  <si>
    <t>Stedham WI</t>
  </si>
  <si>
    <t>VE Day Donation</t>
  </si>
  <si>
    <t>INV-1028</t>
  </si>
  <si>
    <t xml:space="preserve">2025/26 Budget </t>
  </si>
  <si>
    <t>Debtors/Creditors 2024/25</t>
  </si>
  <si>
    <t>Balance @ 31st March 2025</t>
  </si>
  <si>
    <t>Opening Balance for start of Accounting Year 2025/26</t>
  </si>
  <si>
    <t>VAT126 Dec24-Mar25</t>
  </si>
  <si>
    <t>2025/26 BUDGET FULL YEAR
(Exc VAT)</t>
  </si>
  <si>
    <t> Stedham with Iping Parish Council Budget 1 April 2025 to 31 March 2026</t>
  </si>
  <si>
    <t>ADMIN10</t>
  </si>
  <si>
    <t>Employer National Insurance</t>
  </si>
  <si>
    <t>VAT Dec24-Mar25</t>
  </si>
  <si>
    <t xml:space="preserve">Note:	Section 137 of the Local Government Act 1972 allows local authorities, like parish and town councils, to spend a limited amount of money for purposes for which they have no other specific statutory power. This expenditure must be for the direct benefit of their area or its inhabitants. The limit for 2025/26 in England is £11.10 per elector, up from £10.81 in 2024/25, reflecting the increase in the retail price index. (Total = 686), which is approximately £7,615 for Stedham with Iping. </t>
  </si>
  <si>
    <t>HMRC(Tax Mnth 2 2025-26)</t>
  </si>
  <si>
    <t>Clerk: April Pay</t>
  </si>
  <si>
    <t>Clerk: April Expense</t>
  </si>
  <si>
    <t>RFO: April Pay</t>
  </si>
  <si>
    <t>Morag Birch(Tax Mnth 2 2025-26)</t>
  </si>
  <si>
    <t>HMRC(Tax Mnth  2 2025-26)</t>
  </si>
  <si>
    <t>Grass Cut April 2025</t>
  </si>
  <si>
    <t>Food_Wine APM 23rd April 25</t>
  </si>
  <si>
    <t>45UD051-0011</t>
  </si>
  <si>
    <t>Printer Ink (75%)</t>
  </si>
  <si>
    <t>HMRC(Tax Mnth 3 2025-26)</t>
  </si>
  <si>
    <t>Morag Birch(Tax Mnth 3 2025-26)</t>
  </si>
  <si>
    <t>HMRC(Tax Mnth  3 2025-26)</t>
  </si>
  <si>
    <t>Clerk: May Pay</t>
  </si>
  <si>
    <t>Clerk: May Expense</t>
  </si>
  <si>
    <t>RFO: May Pay</t>
  </si>
  <si>
    <t>Grass Cut May 2025</t>
  </si>
  <si>
    <t>New PC Register</t>
  </si>
  <si>
    <t>Ralph Restorations</t>
  </si>
  <si>
    <t>Iping Phone Box Refurbishment</t>
  </si>
  <si>
    <t>Iping Bus Shelter - Paint</t>
  </si>
  <si>
    <t>GB53EK38VAEUI</t>
  </si>
  <si>
    <t>CPR Attendee Shortfall Charge</t>
  </si>
  <si>
    <t>SHC-RR-2025-001</t>
  </si>
  <si>
    <t>Sussex Heart Charity</t>
  </si>
  <si>
    <t>S K Electrical</t>
  </si>
  <si>
    <t>AED Installation Iping Phone Box</t>
  </si>
  <si>
    <t>Iping Phone Box, AED installation</t>
  </si>
  <si>
    <t>HMRC(Tax Mnth 4 2025-26)</t>
  </si>
  <si>
    <t>Morag Birch(Tax Mnth 4 2025-26)</t>
  </si>
  <si>
    <t>HMRC(Tax Mnth  4 2025-26)</t>
  </si>
  <si>
    <t>Clerk: June Pay</t>
  </si>
  <si>
    <t>Clerk: June Expense</t>
  </si>
  <si>
    <t>RFO: June Pay</t>
  </si>
  <si>
    <t>Grass Cut June 2025</t>
  </si>
  <si>
    <t>Wel Medical</t>
  </si>
  <si>
    <t>Spare AED Pads</t>
  </si>
  <si>
    <t>Allotment Water Supply Apr-Jul DD</t>
  </si>
  <si>
    <t xml:space="preserve">Moore East Midlands </t>
  </si>
  <si>
    <t>External Audit 2024-25</t>
  </si>
  <si>
    <t>17938-979</t>
  </si>
  <si>
    <t>J C Miles</t>
  </si>
  <si>
    <t>Repair of Allotment Mower</t>
  </si>
  <si>
    <t>Clerk: July Pay</t>
  </si>
  <si>
    <t>Clerk: July Expense</t>
  </si>
  <si>
    <t>RFO: July Pay</t>
  </si>
  <si>
    <t>8 x Litter Pick(To be held at Rotherhill)</t>
  </si>
  <si>
    <t>4 x Bin Bag Holder(To be held at Rotherhill)</t>
  </si>
  <si>
    <t>GB50BIKGKD5BRI</t>
  </si>
  <si>
    <t>GB55H67ZEAEUI</t>
  </si>
  <si>
    <t>Printing Autumn Newsletter</t>
  </si>
  <si>
    <t>SI-16762</t>
  </si>
  <si>
    <t>Clear Round Pest Services Ltd</t>
  </si>
  <si>
    <t>Removal of wasps nest  - CV Playground</t>
  </si>
  <si>
    <t>X-Net Services</t>
  </si>
  <si>
    <t>Website changes to include Cemetery Search Page</t>
  </si>
  <si>
    <t>High water charge - Leak &amp; increased charges</t>
  </si>
  <si>
    <t>Inc cost to develop Cemetery search function</t>
  </si>
  <si>
    <t>Tea Club Consumable 03/09/25</t>
  </si>
  <si>
    <t>Tea Club  03/09/25 - Hall Hire</t>
  </si>
  <si>
    <t>Tea Club Receipts  03/09/25</t>
  </si>
  <si>
    <t>Sep25 Event - £92.63</t>
  </si>
  <si>
    <t>27Attendees -  +£1.57/person</t>
  </si>
  <si>
    <t>Comment</t>
  </si>
  <si>
    <t>Nett Profit/Loss</t>
  </si>
  <si>
    <t>£5 Fee introduced</t>
  </si>
  <si>
    <t>Nett Profit/Loss /person</t>
  </si>
  <si>
    <t>Precept 2025-26 2nd Installment</t>
  </si>
  <si>
    <t>HMRC(Tax Mnth 5 2025-26)</t>
  </si>
  <si>
    <t>Morag Birch(Tax Mnth 5 2025-26)</t>
  </si>
  <si>
    <t>HMRC(Tax Mnth  5 2025-26)</t>
  </si>
  <si>
    <t>HMRC(Tax Mnth 6 2025-26)</t>
  </si>
  <si>
    <t>Morag Birch(Tax Mnth 6 2025-26)</t>
  </si>
  <si>
    <t>Clerk:  August Pay</t>
  </si>
  <si>
    <t>Clerk: August Pay</t>
  </si>
  <si>
    <t>Clerk: August Expense</t>
  </si>
  <si>
    <t>RFO: August Pay</t>
  </si>
  <si>
    <t>100 x 2nd Class stamps for Newsletters</t>
  </si>
  <si>
    <t>3 x 25 Envelopes Newsletter</t>
  </si>
  <si>
    <t>20 x Archive Boxes</t>
  </si>
  <si>
    <t>Bags for Newsletters</t>
  </si>
  <si>
    <t>Training AGAR Assertion 10</t>
  </si>
  <si>
    <t>Tea Club 3/9/25 Consumables</t>
  </si>
  <si>
    <t>Tea Club 3/9/25 Room Hire</t>
  </si>
  <si>
    <t>WSCC</t>
  </si>
  <si>
    <t>Annual Rent 2025-26 CV Playing Field &amp; Allotments</t>
  </si>
  <si>
    <t>Teaclub 3/9/25 Receipts</t>
  </si>
  <si>
    <t>Grass Cut August 2025</t>
  </si>
  <si>
    <t>Emorsgate Seeds</t>
  </si>
  <si>
    <t>Beelines Project</t>
  </si>
  <si>
    <t>Allotment 2A Hodgson</t>
  </si>
  <si>
    <t>Allotment 8 Miles</t>
  </si>
  <si>
    <t>Allotment 7 Mitchell</t>
  </si>
  <si>
    <t>Allotment 1 Ford</t>
  </si>
  <si>
    <t>Allotment 10 Bowles</t>
  </si>
  <si>
    <t>Annual Fee</t>
  </si>
  <si>
    <t>Allotments 3&amp;4 Page</t>
  </si>
  <si>
    <t>Allotment 2 Harrison-Pile</t>
  </si>
  <si>
    <t>Allotment 6A Thole-Laird</t>
  </si>
  <si>
    <t>Amanda Hollinghead</t>
  </si>
  <si>
    <t>Skip Hire for Allotments</t>
  </si>
  <si>
    <t>Bi-annual Domain Fee</t>
  </si>
  <si>
    <t>Allotment 5 Axelton</t>
  </si>
  <si>
    <t>HMRC(Tax Mnth 7 2025-26)</t>
  </si>
  <si>
    <t>Morag Birch(Tax Mnth 7 2025-26)</t>
  </si>
  <si>
    <t>Clerk:  September Pay</t>
  </si>
  <si>
    <t>Clerk: September Pay</t>
  </si>
  <si>
    <t>Clerk: September Expense</t>
  </si>
  <si>
    <t>RFO: September Pay</t>
  </si>
  <si>
    <t>SIPC Grant - AED Light</t>
  </si>
  <si>
    <t>Allotment 10A Oram</t>
  </si>
  <si>
    <t>Allotment 5A Beresford</t>
  </si>
  <si>
    <t>Grass Cut September 2025</t>
  </si>
  <si>
    <t>Allotment 7A Pike</t>
  </si>
  <si>
    <t>Allotment 9 Mitchell</t>
  </si>
  <si>
    <t>Allotment 4A Liverton</t>
  </si>
  <si>
    <t>Allotment Water Supply Jul-Oct DD</t>
  </si>
  <si>
    <t>M Hodgson</t>
  </si>
  <si>
    <t>Newsletter August Photo Competition</t>
  </si>
  <si>
    <t>Annual Fee 10 Emails Accounts</t>
  </si>
  <si>
    <t>Mulled Wine Sales 25/10/2025</t>
  </si>
  <si>
    <t>Allotment 6 Munn</t>
  </si>
  <si>
    <t>Allotment 1A Hollingshead</t>
  </si>
  <si>
    <t>Net Mulled Wine Sales</t>
  </si>
  <si>
    <t>5Lt Thermos Drinks Dispenser</t>
  </si>
  <si>
    <t>6 Cases Mulled Wine. 4x35 Cups</t>
  </si>
  <si>
    <t>Increased from £35 to £40</t>
  </si>
  <si>
    <t>£50 Photo Competition Prize</t>
  </si>
  <si>
    <t>CPR Attendee shortfall, Mulled wine consumables</t>
  </si>
  <si>
    <t>Allotment Maintenance(Water, Fencing, Mowing)</t>
  </si>
  <si>
    <t>Bank Balance 29/10/2025</t>
  </si>
  <si>
    <t>VE Day WI Donation, Grant for AED Light</t>
  </si>
  <si>
    <t>HMRC(Tax Mnth 8 2025-26)</t>
  </si>
  <si>
    <t>Morag Birch(Tax Mnth 8 2025-26)</t>
  </si>
  <si>
    <t>Clerk:  October Pay</t>
  </si>
  <si>
    <t>Clerk: October  Pay</t>
  </si>
  <si>
    <t>Clerk: October  Expense</t>
  </si>
  <si>
    <t>RFO: October  Pay</t>
  </si>
  <si>
    <t>HMRC Employer NIC</t>
  </si>
  <si>
    <t>Months 1 - 7 2025-26</t>
  </si>
  <si>
    <t>Grass Cut October 2025</t>
  </si>
  <si>
    <t>DropBox Annual Fee 2025-26</t>
  </si>
  <si>
    <t>DropBox Annual Fee 2023-24</t>
  </si>
  <si>
    <t>DropBox Annual Fee 2024-25</t>
  </si>
  <si>
    <t>Stationery Print Paper</t>
  </si>
  <si>
    <t>M Birch (Reimburse 75% cost)</t>
  </si>
  <si>
    <t>2 x Christmas Trees</t>
  </si>
  <si>
    <t>Annual Service Charge 2025-26</t>
  </si>
  <si>
    <t>WI Tombola Prizes 29112025</t>
  </si>
  <si>
    <t>WI Tombola Net Sales 29112026</t>
  </si>
  <si>
    <t>Allotment 9A Kruba</t>
  </si>
  <si>
    <t>Allotment Tree Clearance</t>
  </si>
  <si>
    <t>Inc 2023-24 &amp; 2024-25 DropBox Payments ~£192. Late Reimbursement</t>
  </si>
  <si>
    <t>£550 - unbudgeted Allotment tree clearance</t>
  </si>
  <si>
    <t>HMRC(Tax Mnth 9 2025-26)</t>
  </si>
  <si>
    <t>Morag Birch(Tax Mnth 9 2025-26)</t>
  </si>
  <si>
    <t>Clerk:  November Pay</t>
  </si>
  <si>
    <t>Clerk: November  Pay</t>
  </si>
  <si>
    <t>Clerk: November  Expense</t>
  </si>
  <si>
    <t>RFO: November  Pay</t>
  </si>
  <si>
    <t>Months 8 &amp; 9 2025-26</t>
  </si>
  <si>
    <t>Xmas tea Club - Gross Takings</t>
  </si>
  <si>
    <t>Marking Paint for Daffodils</t>
  </si>
  <si>
    <t>AED Pads for Stedham</t>
  </si>
  <si>
    <t>Internal Interim Audit</t>
  </si>
  <si>
    <t>Litter Pick Tea Consumables 23/11/25</t>
  </si>
  <si>
    <t>Receipt lost/ Card statement</t>
  </si>
  <si>
    <t>Room Hire - Tea Club 10th December 25</t>
  </si>
  <si>
    <t>Interim Audit not Budgeted £227(exc VAT)</t>
  </si>
  <si>
    <t>Playsafe Playground Ltd</t>
  </si>
  <si>
    <t>Annual Inspection 2025</t>
  </si>
  <si>
    <t>Hire of Hall Apr-Dec 2025</t>
  </si>
  <si>
    <t>12/2025</t>
  </si>
  <si>
    <t>BACS 23/9/25</t>
  </si>
  <si>
    <t>BACS 24/9/25</t>
  </si>
  <si>
    <t>BACS 25/9/25</t>
  </si>
  <si>
    <t>BACS 3/11/25</t>
  </si>
  <si>
    <t>BACS 29/9/25</t>
  </si>
  <si>
    <t>BACS 30/9/25</t>
  </si>
  <si>
    <t>BACS 6/10/25</t>
  </si>
  <si>
    <t>Cash 13/10/25</t>
  </si>
  <si>
    <t>Cash 15/10/25</t>
  </si>
  <si>
    <t>BACs 15/10/25</t>
  </si>
  <si>
    <t>BACs 20/10/25</t>
  </si>
  <si>
    <t>Cash 22/10/25</t>
  </si>
  <si>
    <t>Cash 30/11/25</t>
  </si>
  <si>
    <t>BACs 11/12/25</t>
  </si>
  <si>
    <t>Z2389759</t>
  </si>
  <si>
    <t>GB56MLENAAEUI</t>
  </si>
  <si>
    <t>GB56ML99GAEUI</t>
  </si>
  <si>
    <t>Inv 23</t>
  </si>
  <si>
    <t>BACS 15/9/20</t>
  </si>
  <si>
    <t>SO224884</t>
  </si>
  <si>
    <t>WKFKT7OD-0001</t>
  </si>
  <si>
    <t>GB508UTPEUCZDI</t>
  </si>
  <si>
    <t>3Q899F1D6638</t>
  </si>
  <si>
    <t>GB5069HXYLWLHI</t>
  </si>
  <si>
    <t>Inv221125</t>
  </si>
  <si>
    <t xml:space="preserve"> Inv24</t>
  </si>
  <si>
    <t>I292045</t>
  </si>
  <si>
    <t>VAT126 Claim 1st April 2025 to 31st December 2025 (VAT126 Apr25-Dec25)</t>
  </si>
  <si>
    <t>GB464103811</t>
  </si>
  <si>
    <t>GB53E38VAEUI</t>
  </si>
  <si>
    <t>GB322414053</t>
  </si>
  <si>
    <t>10 x Archive Boxes</t>
  </si>
  <si>
    <t>GB255830593</t>
  </si>
  <si>
    <t>GB193804781</t>
  </si>
  <si>
    <t>VAT not Claimed</t>
  </si>
  <si>
    <t>GB378692435</t>
  </si>
  <si>
    <t>Activity sheet values</t>
  </si>
  <si>
    <t>VAT126 Apr25-Dec25</t>
  </si>
  <si>
    <t>Bank Balance 19th December 2025</t>
  </si>
  <si>
    <t>Bank Balance 5th January 2026</t>
  </si>
  <si>
    <t>Bank Balance @ 5th January 2026</t>
  </si>
  <si>
    <t>Information Commissioner's Office</t>
  </si>
  <si>
    <t>Fee increase not budgeted</t>
  </si>
  <si>
    <t>Iping Bus Shelter Paint, Removal of wasps nest</t>
  </si>
  <si>
    <t>Tea Club Sep&amp; Dec 2025, Mulled Wine sales Oct25. Tombola Receipts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</si>
</sst>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00"/>
    <numFmt numFmtId="167" formatCode="&quot;£&quot;#,##0"/>
    <numFmt numFmtId="168" formatCode="dd/mm/yyyy;@"/>
  </numFmts>
  <fonts count="3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rgb="FFFF0000"/>
      <name val="Arial"/>
      <family val="2"/>
    </font>
    <font>
      <sz val="12"/>
      <name val="Times New Roman"/>
      <family val="1"/>
    </font>
    <font>
      <b/>
      <sz val="11"/>
      <name val="Arial"/>
      <family val="2"/>
    </font>
    <font>
      <sz val="11"/>
      <name val="Arial"/>
      <family val="2"/>
    </font>
    <font>
      <sz val="12"/>
      <color indexed="8"/>
      <name val="Arial"/>
      <family val="2"/>
    </font>
    <font>
      <sz val="16"/>
      <color theme="1"/>
      <name val="Arial"/>
      <family val="2"/>
    </font>
    <font>
      <sz val="11"/>
      <color theme="1"/>
      <name val="Arial"/>
      <family val="2"/>
    </font>
    <font>
      <b/>
      <sz val="11"/>
      <color theme="1"/>
      <name val="Arial"/>
      <family val="2"/>
    </font>
    <font>
      <sz val="14"/>
      <color rgb="FF0000FF"/>
      <name val="Arial"/>
      <family val="2"/>
    </font>
    <font>
      <b/>
      <sz val="14"/>
      <color theme="9"/>
      <name val="Arial"/>
      <family val="2"/>
    </font>
    <font>
      <b/>
      <sz val="14"/>
      <color theme="9" tint="-0.249977111117893"/>
      <name val="Arial"/>
      <family val="2"/>
    </font>
    <font>
      <b/>
      <sz val="11"/>
      <color theme="9" tint="-0.249977111117893"/>
      <name val="Arial"/>
      <family val="2"/>
    </font>
    <font>
      <b/>
      <sz val="11"/>
      <color rgb="FF008000"/>
      <name val="Arial"/>
      <family val="2"/>
    </font>
    <font>
      <b/>
      <sz val="11"/>
      <color rgb="FF000000"/>
      <name val="Arial"/>
      <family val="2"/>
    </font>
    <font>
      <b/>
      <sz val="12"/>
      <color theme="1"/>
      <name val="Arial"/>
      <family val="2"/>
    </font>
    <font>
      <b/>
      <sz val="14"/>
      <color rgb="FF000090"/>
      <name val="Arial"/>
      <family val="2"/>
    </font>
    <font>
      <b/>
      <sz val="11"/>
      <color rgb="FF000090"/>
      <name val="Arial"/>
      <family val="2"/>
    </font>
    <font>
      <sz val="11"/>
      <color theme="1"/>
      <name val="Calibri"/>
      <family val="2"/>
    </font>
    <font>
      <sz val="8"/>
      <name val="Calibri"/>
      <family val="2"/>
      <scheme val="minor"/>
    </font>
    <font>
      <sz val="11"/>
      <color rgb="FF000000"/>
      <name val="Calibri"/>
      <family val="2"/>
      <scheme val="minor"/>
    </font>
    <font>
      <b/>
      <sz val="12"/>
      <name val="Arial"/>
      <family val="2"/>
    </font>
    <font>
      <sz val="10"/>
      <color rgb="FF000000"/>
      <name val="Arial"/>
      <family val="34"/>
    </font>
    <font>
      <b/>
      <sz val="14"/>
      <color theme="1"/>
      <name val="Arial"/>
      <family val="2"/>
    </font>
    <font>
      <sz val="14"/>
      <color theme="1"/>
      <name val="Arial"/>
      <family val="2"/>
    </font>
    <font>
      <sz val="14"/>
      <color rgb="FFFF0000"/>
      <name val="Arial"/>
      <family val="2"/>
    </font>
    <font>
      <sz val="10"/>
      <color theme="1"/>
      <name val="Arial"/>
      <family val="2"/>
    </font>
    <font>
      <sz val="12"/>
      <color theme="1"/>
      <name val="Arial"/>
      <family val="2"/>
    </font>
    <font>
      <sz val="10"/>
      <color theme="4" tint="-0.249977111117893"/>
      <name val="Arial"/>
      <family val="2"/>
    </font>
    <font>
      <sz val="10"/>
      <color rgb="FFFF0000"/>
      <name val="Arial"/>
      <family val="2"/>
    </font>
    <font>
      <b/>
      <sz val="10"/>
      <color theme="1"/>
      <name val="Arial"/>
      <family val="2"/>
    </font>
    <font>
      <sz val="10"/>
      <color theme="0"/>
      <name val="Arial"/>
      <family val="2"/>
    </font>
    <font>
      <sz val="10"/>
      <color rgb="FF0432FF"/>
      <name val="Arial"/>
      <family val="2"/>
    </font>
    <font>
      <sz val="10"/>
      <color rgb="FF000000"/>
      <name val="Arial"/>
      <family val="2"/>
    </font>
    <font>
      <sz val="10"/>
      <color theme="4"/>
      <name val="Arial"/>
      <family val="2"/>
    </font>
  </fonts>
  <fills count="11">
    <fill>
      <patternFill patternType="none"/>
    </fill>
    <fill>
      <patternFill patternType="gray125"/>
    </fill>
    <fill>
      <patternFill patternType="solid">
        <fgColor rgb="FFCCECFF"/>
        <bgColor indexed="64"/>
      </patternFill>
    </fill>
    <fill>
      <patternFill patternType="solid">
        <fgColor rgb="FF99FF66"/>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s>
  <cellStyleXfs count="7">
    <xf numFmtId="0" fontId="0" fillId="0" borderId="0"/>
    <xf numFmtId="164" fontId="1" fillId="0" borderId="0" applyFont="0" applyFill="0" applyBorder="0" applyAlignment="0" applyProtection="0"/>
    <xf numFmtId="0" fontId="5" fillId="0" borderId="0"/>
    <xf numFmtId="165" fontId="5" fillId="0" borderId="0" applyFont="0" applyFill="0" applyBorder="0" applyAlignment="0" applyProtection="0"/>
    <xf numFmtId="0" fontId="8" fillId="0" borderId="0" applyNumberFormat="0" applyFill="0" applyBorder="0" applyProtection="0"/>
    <xf numFmtId="44" fontId="1" fillId="0" borderId="0" applyFont="0" applyFill="0" applyBorder="0" applyAlignment="0" applyProtection="0"/>
    <xf numFmtId="43" fontId="1" fillId="0" borderId="0" applyFont="0" applyFill="0" applyBorder="0" applyAlignment="0" applyProtection="0"/>
  </cellStyleXfs>
  <cellXfs count="301">
    <xf numFmtId="0" fontId="0" fillId="0" borderId="0" xfId="0"/>
    <xf numFmtId="164" fontId="0" fillId="0" borderId="1" xfId="1" applyFont="1" applyFill="1" applyBorder="1"/>
    <xf numFmtId="0" fontId="9"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center"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4" xfId="0" applyFont="1" applyBorder="1" applyAlignment="1">
      <alignment horizontal="center" vertical="top" wrapText="1"/>
    </xf>
    <xf numFmtId="0" fontId="11" fillId="0" borderId="0" xfId="0" applyFont="1" applyAlignment="1">
      <alignment horizontal="center" vertical="top"/>
    </xf>
    <xf numFmtId="0" fontId="12" fillId="0" borderId="5" xfId="0" applyFont="1" applyBorder="1" applyAlignment="1">
      <alignment vertical="top" wrapText="1"/>
    </xf>
    <xf numFmtId="0" fontId="12" fillId="0" borderId="1" xfId="0" applyFont="1" applyBorder="1" applyAlignment="1">
      <alignment vertical="top" wrapText="1"/>
    </xf>
    <xf numFmtId="0" fontId="10" fillId="0" borderId="1" xfId="0" applyFont="1" applyBorder="1" applyAlignment="1">
      <alignment vertical="top"/>
    </xf>
    <xf numFmtId="0" fontId="7" fillId="0" borderId="5" xfId="0" applyFont="1" applyBorder="1" applyAlignment="1">
      <alignment vertical="top" wrapText="1"/>
    </xf>
    <xf numFmtId="0" fontId="7" fillId="0" borderId="1" xfId="0" applyFont="1" applyBorder="1" applyAlignment="1">
      <alignment vertical="top" wrapText="1"/>
    </xf>
    <xf numFmtId="0" fontId="7" fillId="0" borderId="0" xfId="0" applyFont="1" applyAlignment="1">
      <alignment vertical="top"/>
    </xf>
    <xf numFmtId="167" fontId="7" fillId="0" borderId="5" xfId="0" applyNumberFormat="1" applyFont="1" applyBorder="1" applyAlignment="1">
      <alignment vertical="top"/>
    </xf>
    <xf numFmtId="0" fontId="6" fillId="4" borderId="5" xfId="0" applyFont="1" applyFill="1" applyBorder="1" applyAlignment="1">
      <alignment vertical="top"/>
    </xf>
    <xf numFmtId="0" fontId="6" fillId="4" borderId="1" xfId="0" applyFont="1" applyFill="1" applyBorder="1" applyAlignment="1">
      <alignment vertical="top"/>
    </xf>
    <xf numFmtId="0" fontId="6" fillId="4" borderId="1" xfId="0" applyFont="1" applyFill="1" applyBorder="1" applyAlignment="1">
      <alignment vertical="top" wrapText="1"/>
    </xf>
    <xf numFmtId="0" fontId="6" fillId="0" borderId="0" xfId="0" applyFont="1" applyAlignment="1">
      <alignment vertical="top"/>
    </xf>
    <xf numFmtId="167" fontId="6" fillId="0" borderId="1" xfId="0" applyNumberFormat="1" applyFont="1" applyBorder="1" applyAlignment="1">
      <alignment vertical="top" wrapText="1"/>
    </xf>
    <xf numFmtId="0" fontId="13" fillId="0" borderId="5" xfId="0" applyFont="1" applyBorder="1" applyAlignment="1">
      <alignment vertical="top"/>
    </xf>
    <xf numFmtId="0" fontId="13" fillId="0" borderId="1" xfId="0" applyFont="1" applyBorder="1" applyAlignment="1">
      <alignment vertical="top"/>
    </xf>
    <xf numFmtId="167" fontId="11" fillId="0" borderId="5" xfId="0" applyNumberFormat="1" applyFont="1" applyBorder="1" applyAlignment="1">
      <alignment horizontal="left" vertical="top"/>
    </xf>
    <xf numFmtId="167" fontId="10" fillId="0" borderId="1" xfId="0" applyNumberFormat="1" applyFont="1" applyBorder="1" applyAlignment="1">
      <alignment vertical="top"/>
    </xf>
    <xf numFmtId="0" fontId="10" fillId="0" borderId="1" xfId="0" applyFont="1" applyBorder="1" applyAlignment="1">
      <alignment vertical="top" wrapText="1"/>
    </xf>
    <xf numFmtId="0" fontId="7" fillId="0" borderId="5" xfId="0" applyFont="1" applyBorder="1" applyAlignment="1">
      <alignment horizontal="left" vertical="top"/>
    </xf>
    <xf numFmtId="167" fontId="10" fillId="0" borderId="5" xfId="0" applyNumberFormat="1" applyFont="1" applyBorder="1" applyAlignment="1">
      <alignment horizontal="left" vertical="top"/>
    </xf>
    <xf numFmtId="0" fontId="6" fillId="0" borderId="5" xfId="0" applyFont="1" applyBorder="1" applyAlignment="1">
      <alignment horizontal="left" vertical="top"/>
    </xf>
    <xf numFmtId="0" fontId="7" fillId="0" borderId="1" xfId="0" applyFont="1" applyBorder="1" applyAlignment="1">
      <alignment vertical="top"/>
    </xf>
    <xf numFmtId="0" fontId="4" fillId="0" borderId="0" xfId="0" applyFont="1" applyAlignment="1">
      <alignment vertical="top"/>
    </xf>
    <xf numFmtId="0" fontId="10" fillId="0" borderId="5" xfId="0" applyFont="1" applyBorder="1" applyAlignment="1">
      <alignment horizontal="left" vertical="top"/>
    </xf>
    <xf numFmtId="167" fontId="10" fillId="0" borderId="5" xfId="0" applyNumberFormat="1" applyFont="1" applyBorder="1" applyAlignment="1">
      <alignment vertical="top"/>
    </xf>
    <xf numFmtId="0" fontId="11" fillId="4" borderId="5" xfId="0" applyFont="1" applyFill="1" applyBorder="1" applyAlignment="1">
      <alignment vertical="top" wrapText="1"/>
    </xf>
    <xf numFmtId="0" fontId="11" fillId="4" borderId="1" xfId="0" applyFont="1" applyFill="1" applyBorder="1" applyAlignment="1">
      <alignment vertical="top" wrapText="1"/>
    </xf>
    <xf numFmtId="0" fontId="11" fillId="0" borderId="0" xfId="0" applyFont="1" applyAlignment="1">
      <alignment vertical="top"/>
    </xf>
    <xf numFmtId="0" fontId="10" fillId="0" borderId="5" xfId="0" applyFont="1" applyBorder="1" applyAlignment="1">
      <alignment vertical="top" wrapText="1"/>
    </xf>
    <xf numFmtId="0" fontId="14" fillId="0" borderId="5" xfId="0" applyFont="1" applyBorder="1" applyAlignment="1">
      <alignment vertical="top"/>
    </xf>
    <xf numFmtId="0" fontId="14" fillId="0" borderId="1" xfId="0" applyFont="1" applyBorder="1" applyAlignment="1">
      <alignment vertical="top"/>
    </xf>
    <xf numFmtId="0" fontId="15" fillId="0" borderId="0" xfId="0" applyFont="1" applyAlignment="1">
      <alignment vertical="top"/>
    </xf>
    <xf numFmtId="0" fontId="16" fillId="0" borderId="5" xfId="0" applyFont="1" applyBorder="1" applyAlignment="1">
      <alignment vertical="top" wrapText="1"/>
    </xf>
    <xf numFmtId="0" fontId="17" fillId="4" borderId="5" xfId="0" applyFont="1" applyFill="1" applyBorder="1" applyAlignment="1">
      <alignment vertical="top" wrapText="1"/>
    </xf>
    <xf numFmtId="0" fontId="17" fillId="4" borderId="1" xfId="0" applyFont="1" applyFill="1" applyBorder="1" applyAlignment="1">
      <alignment vertical="top" wrapText="1"/>
    </xf>
    <xf numFmtId="0" fontId="11" fillId="0" borderId="5" xfId="0" applyFont="1" applyBorder="1" applyAlignment="1">
      <alignment horizontal="left" vertical="top"/>
    </xf>
    <xf numFmtId="0" fontId="18" fillId="0" borderId="5" xfId="0" applyFont="1" applyBorder="1" applyAlignment="1">
      <alignment horizontal="right" vertical="top"/>
    </xf>
    <xf numFmtId="167" fontId="18" fillId="0" borderId="1" xfId="0" applyNumberFormat="1" applyFont="1" applyBorder="1" applyAlignment="1">
      <alignment vertical="top"/>
    </xf>
    <xf numFmtId="0" fontId="18" fillId="0" borderId="5" xfId="0" applyFont="1" applyBorder="1" applyAlignment="1">
      <alignment horizontal="right" vertical="top" wrapText="1"/>
    </xf>
    <xf numFmtId="167" fontId="19" fillId="0" borderId="6" xfId="0" applyNumberFormat="1" applyFont="1" applyBorder="1" applyAlignment="1">
      <alignment horizontal="right" vertical="top" wrapText="1"/>
    </xf>
    <xf numFmtId="167" fontId="19" fillId="0" borderId="7" xfId="0" applyNumberFormat="1" applyFont="1" applyBorder="1" applyAlignment="1">
      <alignment vertical="top" wrapText="1"/>
    </xf>
    <xf numFmtId="0" fontId="20" fillId="0" borderId="0" xfId="0" applyFont="1" applyAlignment="1">
      <alignment vertical="top"/>
    </xf>
    <xf numFmtId="167" fontId="10" fillId="0" borderId="0" xfId="0" applyNumberFormat="1" applyFont="1" applyAlignment="1">
      <alignment vertical="top"/>
    </xf>
    <xf numFmtId="0" fontId="10" fillId="0" borderId="0" xfId="0" applyFont="1" applyAlignment="1">
      <alignment horizontal="right" vertical="top" wrapText="1"/>
    </xf>
    <xf numFmtId="167" fontId="11" fillId="0" borderId="8" xfId="0" applyNumberFormat="1" applyFont="1" applyBorder="1" applyAlignment="1">
      <alignment vertical="top"/>
    </xf>
    <xf numFmtId="0" fontId="0" fillId="0" borderId="9" xfId="0" applyBorder="1" applyAlignment="1">
      <alignment vertical="top"/>
    </xf>
    <xf numFmtId="0" fontId="0" fillId="0" borderId="0" xfId="0" applyAlignment="1">
      <alignment vertical="top"/>
    </xf>
    <xf numFmtId="164" fontId="10" fillId="0" borderId="0" xfId="1" applyFont="1" applyBorder="1" applyAlignment="1">
      <alignment vertical="top"/>
    </xf>
    <xf numFmtId="164" fontId="10" fillId="0" borderId="0" xfId="1" applyFont="1" applyFill="1" applyBorder="1" applyAlignment="1">
      <alignment vertical="top"/>
    </xf>
    <xf numFmtId="164" fontId="0" fillId="0" borderId="0" xfId="1" applyFont="1" applyBorder="1" applyAlignment="1">
      <alignment vertical="top"/>
    </xf>
    <xf numFmtId="0" fontId="0" fillId="0" borderId="1" xfId="0" applyBorder="1"/>
    <xf numFmtId="2" fontId="0" fillId="0" borderId="0" xfId="0" applyNumberFormat="1" applyAlignment="1">
      <alignment vertical="top"/>
    </xf>
    <xf numFmtId="167" fontId="21" fillId="0" borderId="0" xfId="0" applyNumberFormat="1" applyFont="1" applyAlignment="1">
      <alignment vertical="top"/>
    </xf>
    <xf numFmtId="0" fontId="7" fillId="5" borderId="1" xfId="0" applyFont="1" applyFill="1" applyBorder="1" applyAlignment="1">
      <alignment vertical="top" wrapText="1"/>
    </xf>
    <xf numFmtId="14" fontId="0" fillId="0" borderId="0" xfId="0" applyNumberFormat="1" applyAlignment="1">
      <alignment horizontal="left" vertical="top"/>
    </xf>
    <xf numFmtId="0" fontId="0" fillId="0" borderId="0" xfId="0" applyAlignment="1">
      <alignment horizontal="left" vertical="top"/>
    </xf>
    <xf numFmtId="0" fontId="23" fillId="0" borderId="1" xfId="0" applyFont="1" applyBorder="1"/>
    <xf numFmtId="44" fontId="0" fillId="0" borderId="0" xfId="0" applyNumberFormat="1" applyAlignment="1">
      <alignment vertical="top"/>
    </xf>
    <xf numFmtId="0" fontId="3" fillId="0" borderId="1" xfId="0" applyFont="1" applyBorder="1" applyAlignment="1">
      <alignment horizontal="left" vertical="top" wrapText="1"/>
    </xf>
    <xf numFmtId="166"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166" fontId="0" fillId="0" borderId="0" xfId="0" applyNumberFormat="1" applyAlignment="1">
      <alignment horizontal="left" vertical="top"/>
    </xf>
    <xf numFmtId="166" fontId="0" fillId="0" borderId="0" xfId="0" applyNumberFormat="1" applyAlignment="1">
      <alignment horizontal="right" vertical="top"/>
    </xf>
    <xf numFmtId="0" fontId="3" fillId="0" borderId="0" xfId="0" applyFont="1" applyAlignment="1">
      <alignment horizontal="left" vertical="top"/>
    </xf>
    <xf numFmtId="8" fontId="7" fillId="0" borderId="1" xfId="0" applyNumberFormat="1" applyFont="1" applyBorder="1" applyAlignment="1">
      <alignment vertical="top"/>
    </xf>
    <xf numFmtId="164" fontId="11" fillId="0" borderId="1" xfId="1" applyFont="1" applyFill="1" applyBorder="1" applyAlignment="1">
      <alignment horizontal="center" vertical="top" wrapText="1"/>
    </xf>
    <xf numFmtId="164" fontId="10" fillId="0" borderId="1" xfId="1" applyFont="1" applyFill="1" applyBorder="1" applyAlignment="1">
      <alignment vertical="top"/>
    </xf>
    <xf numFmtId="164" fontId="20" fillId="0" borderId="1" xfId="1" applyFont="1" applyFill="1" applyBorder="1" applyAlignment="1">
      <alignment vertical="top"/>
    </xf>
    <xf numFmtId="164" fontId="3" fillId="0" borderId="0" xfId="1" applyFont="1" applyBorder="1" applyAlignment="1">
      <alignment vertical="top"/>
    </xf>
    <xf numFmtId="0" fontId="0" fillId="0" borderId="1" xfId="0" applyBorder="1" applyAlignment="1">
      <alignment horizontal="left" vertical="top"/>
    </xf>
    <xf numFmtId="1" fontId="0" fillId="0" borderId="1" xfId="0" applyNumberFormat="1" applyBorder="1"/>
    <xf numFmtId="17" fontId="11" fillId="0" borderId="0" xfId="0" applyNumberFormat="1" applyFont="1" applyAlignment="1">
      <alignment horizontal="center" vertical="top"/>
    </xf>
    <xf numFmtId="0" fontId="10" fillId="0" borderId="0" xfId="0" applyFont="1" applyAlignment="1">
      <alignment vertical="top" wrapText="1"/>
    </xf>
    <xf numFmtId="0" fontId="10" fillId="9" borderId="0" xfId="0" applyFont="1" applyFill="1" applyAlignment="1">
      <alignment vertical="top"/>
    </xf>
    <xf numFmtId="0" fontId="11" fillId="9" borderId="0" xfId="0" applyFont="1" applyFill="1" applyAlignment="1">
      <alignment horizontal="center" vertical="top" wrapText="1"/>
    </xf>
    <xf numFmtId="0" fontId="7" fillId="9" borderId="0" xfId="0" applyFont="1" applyFill="1" applyAlignment="1">
      <alignment vertical="top"/>
    </xf>
    <xf numFmtId="0" fontId="6" fillId="9" borderId="0" xfId="0" applyFont="1" applyFill="1" applyAlignment="1">
      <alignment vertical="top"/>
    </xf>
    <xf numFmtId="9" fontId="7" fillId="9" borderId="0" xfId="0" applyNumberFormat="1" applyFont="1" applyFill="1" applyAlignment="1">
      <alignment vertical="top"/>
    </xf>
    <xf numFmtId="0" fontId="20" fillId="9" borderId="0" xfId="0" applyFont="1" applyFill="1" applyAlignment="1">
      <alignment vertical="top"/>
    </xf>
    <xf numFmtId="0" fontId="0" fillId="9" borderId="0" xfId="0" applyFill="1" applyAlignment="1">
      <alignment vertical="top"/>
    </xf>
    <xf numFmtId="44" fontId="0" fillId="9" borderId="0" xfId="0" applyNumberFormat="1" applyFill="1" applyAlignment="1">
      <alignment vertical="top"/>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0" xfId="0" applyNumberFormat="1" applyFont="1" applyAlignment="1">
      <alignment vertical="top"/>
    </xf>
    <xf numFmtId="167" fontId="6" fillId="9" borderId="0" xfId="0" applyNumberFormat="1" applyFont="1" applyFill="1" applyAlignment="1">
      <alignment vertical="top"/>
    </xf>
    <xf numFmtId="0" fontId="15" fillId="0" borderId="1" xfId="0" applyFont="1" applyBorder="1" applyAlignment="1">
      <alignment vertical="top" wrapText="1"/>
    </xf>
    <xf numFmtId="0" fontId="0" fillId="0" borderId="0" xfId="0" applyAlignment="1">
      <alignment vertical="top" wrapText="1"/>
    </xf>
    <xf numFmtId="14" fontId="0" fillId="0" borderId="1" xfId="0" applyNumberFormat="1" applyBorder="1" applyAlignment="1">
      <alignment horizontal="left" vertical="top"/>
    </xf>
    <xf numFmtId="166" fontId="0" fillId="0" borderId="1" xfId="0" applyNumberFormat="1" applyBorder="1" applyAlignment="1">
      <alignment horizontal="right" vertical="top"/>
    </xf>
    <xf numFmtId="0" fontId="0" fillId="8" borderId="1" xfId="0" applyFill="1" applyBorder="1" applyAlignment="1">
      <alignment horizontal="left" vertical="top"/>
    </xf>
    <xf numFmtId="1" fontId="23" fillId="0" borderId="1" xfId="0" applyNumberFormat="1" applyFont="1" applyBorder="1"/>
    <xf numFmtId="40" fontId="10" fillId="2" borderId="0" xfId="0" applyNumberFormat="1" applyFont="1" applyFill="1" applyAlignment="1">
      <alignment vertical="top"/>
    </xf>
    <xf numFmtId="40" fontId="11" fillId="2" borderId="1" xfId="0" applyNumberFormat="1" applyFont="1" applyFill="1" applyBorder="1" applyAlignment="1">
      <alignment horizontal="center" vertical="top" wrapText="1"/>
    </xf>
    <xf numFmtId="40" fontId="10" fillId="2" borderId="1" xfId="0" applyNumberFormat="1" applyFont="1" applyFill="1" applyBorder="1" applyAlignment="1">
      <alignment vertical="top"/>
    </xf>
    <xf numFmtId="40" fontId="20" fillId="2" borderId="1" xfId="0" applyNumberFormat="1" applyFont="1" applyFill="1" applyBorder="1" applyAlignment="1">
      <alignment vertical="top"/>
    </xf>
    <xf numFmtId="40" fontId="0" fillId="2" borderId="0" xfId="0" applyNumberFormat="1" applyFill="1" applyAlignment="1">
      <alignment vertical="top"/>
    </xf>
    <xf numFmtId="167" fontId="10" fillId="0" borderId="0" xfId="0" applyNumberFormat="1" applyFont="1" applyAlignment="1">
      <alignment vertical="top" wrapText="1"/>
    </xf>
    <xf numFmtId="166" fontId="0" fillId="0" borderId="1" xfId="0" applyNumberFormat="1" applyBorder="1" applyAlignment="1">
      <alignment horizontal="left" vertical="top"/>
    </xf>
    <xf numFmtId="14" fontId="0" fillId="0" borderId="1" xfId="0" applyNumberFormat="1" applyBorder="1" applyAlignment="1">
      <alignment horizontal="left" vertical="top" wrapText="1"/>
    </xf>
    <xf numFmtId="166" fontId="0" fillId="0" borderId="1" xfId="0" applyNumberFormat="1" applyBorder="1" applyAlignment="1">
      <alignment horizontal="right" vertical="top" wrapText="1"/>
    </xf>
    <xf numFmtId="0" fontId="0" fillId="0" borderId="1" xfId="0" applyBorder="1" applyAlignment="1">
      <alignment horizontal="left" vertical="top" wrapText="1"/>
    </xf>
    <xf numFmtId="8" fontId="7" fillId="0" borderId="1" xfId="1" applyNumberFormat="1" applyFont="1" applyFill="1" applyBorder="1" applyAlignment="1">
      <alignment vertical="top"/>
    </xf>
    <xf numFmtId="8" fontId="6" fillId="4" borderId="1" xfId="1" applyNumberFormat="1" applyFont="1" applyFill="1" applyBorder="1" applyAlignment="1">
      <alignment vertical="top"/>
    </xf>
    <xf numFmtId="8" fontId="6" fillId="4" borderId="1" xfId="0" applyNumberFormat="1" applyFont="1" applyFill="1" applyBorder="1" applyAlignment="1">
      <alignment vertical="top"/>
    </xf>
    <xf numFmtId="8" fontId="6" fillId="0" borderId="1" xfId="1" applyNumberFormat="1" applyFont="1" applyFill="1" applyBorder="1" applyAlignment="1">
      <alignment vertical="top"/>
    </xf>
    <xf numFmtId="8" fontId="6" fillId="2" borderId="1" xfId="0" applyNumberFormat="1" applyFont="1" applyFill="1" applyBorder="1" applyAlignment="1">
      <alignment vertical="top"/>
    </xf>
    <xf numFmtId="8" fontId="10" fillId="0" borderId="1" xfId="1" applyNumberFormat="1" applyFont="1" applyFill="1" applyBorder="1" applyAlignment="1">
      <alignment vertical="top"/>
    </xf>
    <xf numFmtId="8" fontId="10" fillId="2" borderId="1" xfId="0" applyNumberFormat="1" applyFont="1" applyFill="1" applyBorder="1" applyAlignment="1">
      <alignment vertical="top"/>
    </xf>
    <xf numFmtId="8" fontId="7" fillId="2" borderId="1" xfId="0" applyNumberFormat="1" applyFont="1" applyFill="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166" fontId="0" fillId="0" borderId="2" xfId="0" applyNumberFormat="1" applyBorder="1" applyAlignment="1">
      <alignment horizontal="left" vertical="top"/>
    </xf>
    <xf numFmtId="0" fontId="18" fillId="0" borderId="10" xfId="0" applyFont="1" applyBorder="1" applyAlignment="1">
      <alignment vertical="top" wrapText="1"/>
    </xf>
    <xf numFmtId="0" fontId="20" fillId="0" borderId="11" xfId="0" applyFont="1" applyBorder="1" applyAlignment="1">
      <alignment vertical="top" wrapText="1"/>
    </xf>
    <xf numFmtId="8" fontId="0" fillId="0" borderId="0" xfId="1" applyNumberFormat="1" applyFont="1" applyBorder="1" applyAlignment="1">
      <alignment vertical="top"/>
    </xf>
    <xf numFmtId="0" fontId="10" fillId="0" borderId="0" xfId="0" applyFont="1" applyAlignment="1">
      <alignment horizontal="left" vertical="top" wrapText="1"/>
    </xf>
    <xf numFmtId="164" fontId="11" fillId="0" borderId="12" xfId="1" applyFont="1" applyFill="1" applyBorder="1" applyAlignment="1">
      <alignment vertical="top"/>
    </xf>
    <xf numFmtId="40" fontId="0" fillId="2" borderId="12" xfId="5" applyNumberFormat="1" applyFont="1" applyFill="1" applyBorder="1" applyAlignment="1">
      <alignment vertical="top"/>
    </xf>
    <xf numFmtId="164" fontId="10" fillId="0" borderId="7" xfId="1" applyFont="1" applyFill="1" applyBorder="1" applyAlignment="1">
      <alignment vertical="top"/>
    </xf>
    <xf numFmtId="40" fontId="10" fillId="2" borderId="7" xfId="0" applyNumberFormat="1" applyFont="1" applyFill="1" applyBorder="1" applyAlignment="1">
      <alignment vertical="top"/>
    </xf>
    <xf numFmtId="0" fontId="0" fillId="0" borderId="14" xfId="0" applyBorder="1" applyAlignment="1">
      <alignment vertical="top"/>
    </xf>
    <xf numFmtId="166" fontId="3" fillId="0" borderId="13" xfId="0" applyNumberFormat="1" applyFont="1" applyBorder="1" applyAlignment="1">
      <alignment vertical="top"/>
    </xf>
    <xf numFmtId="168" fontId="0" fillId="0" borderId="1" xfId="0" applyNumberFormat="1" applyBorder="1" applyAlignment="1">
      <alignment horizontal="left" vertical="top"/>
    </xf>
    <xf numFmtId="0" fontId="0" fillId="0" borderId="1" xfId="1" applyNumberFormat="1" applyFont="1" applyFill="1" applyBorder="1" applyAlignment="1">
      <alignment horizontal="left" vertical="top"/>
    </xf>
    <xf numFmtId="0" fontId="7" fillId="0" borderId="0" xfId="0" applyFont="1" applyAlignment="1">
      <alignment vertical="top" wrapText="1"/>
    </xf>
    <xf numFmtId="0" fontId="3" fillId="0" borderId="1" xfId="0" applyFont="1" applyBorder="1" applyAlignment="1">
      <alignment horizontal="left" vertical="top"/>
    </xf>
    <xf numFmtId="167" fontId="18" fillId="0" borderId="10" xfId="0" applyNumberFormat="1" applyFont="1" applyBorder="1" applyAlignment="1">
      <alignment vertical="top"/>
    </xf>
    <xf numFmtId="167" fontId="19" fillId="0" borderId="11" xfId="0" applyNumberFormat="1" applyFont="1" applyBorder="1" applyAlignment="1">
      <alignment vertical="top" wrapText="1"/>
    </xf>
    <xf numFmtId="0" fontId="11" fillId="0" borderId="4" xfId="0" applyFont="1" applyBorder="1" applyAlignment="1">
      <alignment horizontal="left" vertical="top" wrapText="1"/>
    </xf>
    <xf numFmtId="8" fontId="7" fillId="5" borderId="1" xfId="1" applyNumberFormat="1" applyFont="1" applyFill="1" applyBorder="1" applyAlignment="1">
      <alignment vertical="top"/>
    </xf>
    <xf numFmtId="8" fontId="7" fillId="5" borderId="1" xfId="1" applyNumberFormat="1" applyFont="1" applyFill="1" applyBorder="1" applyAlignment="1">
      <alignment horizontal="right" vertical="top"/>
    </xf>
    <xf numFmtId="8" fontId="10" fillId="5" borderId="1" xfId="1" applyNumberFormat="1" applyFont="1" applyFill="1" applyBorder="1" applyAlignment="1">
      <alignment horizontal="right" vertical="top"/>
    </xf>
    <xf numFmtId="8" fontId="10" fillId="5" borderId="1" xfId="1" applyNumberFormat="1" applyFont="1" applyFill="1" applyBorder="1" applyAlignment="1">
      <alignment vertical="top"/>
    </xf>
    <xf numFmtId="8" fontId="2" fillId="0" borderId="0" xfId="0" quotePrefix="1" applyNumberFormat="1" applyFont="1" applyAlignment="1">
      <alignment horizontal="left" vertical="top"/>
    </xf>
    <xf numFmtId="8" fontId="0" fillId="0" borderId="16" xfId="0" applyNumberFormat="1" applyBorder="1" applyAlignment="1">
      <alignment horizontal="left" vertical="top"/>
    </xf>
    <xf numFmtId="44" fontId="3" fillId="0" borderId="0" xfId="0" applyNumberFormat="1" applyFont="1" applyAlignment="1">
      <alignment horizontal="left" vertical="top"/>
    </xf>
    <xf numFmtId="6" fontId="11" fillId="6" borderId="1" xfId="0" applyNumberFormat="1" applyFont="1" applyFill="1" applyBorder="1" applyAlignment="1">
      <alignment vertical="top" wrapText="1"/>
    </xf>
    <xf numFmtId="6" fontId="10" fillId="0" borderId="1" xfId="0" applyNumberFormat="1" applyFont="1" applyBorder="1" applyAlignment="1">
      <alignment vertical="top" wrapText="1"/>
    </xf>
    <xf numFmtId="6" fontId="10" fillId="0" borderId="1" xfId="1" applyNumberFormat="1" applyFont="1" applyFill="1" applyBorder="1" applyAlignment="1">
      <alignment vertical="top"/>
    </xf>
    <xf numFmtId="6" fontId="10" fillId="2" borderId="1" xfId="0" applyNumberFormat="1" applyFont="1" applyFill="1" applyBorder="1" applyAlignment="1">
      <alignment vertical="top"/>
    </xf>
    <xf numFmtId="6" fontId="15" fillId="0" borderId="1" xfId="0" applyNumberFormat="1" applyFont="1" applyBorder="1" applyAlignment="1">
      <alignment vertical="top"/>
    </xf>
    <xf numFmtId="6" fontId="15" fillId="0" borderId="1" xfId="1" applyNumberFormat="1" applyFont="1" applyFill="1" applyBorder="1" applyAlignment="1">
      <alignment vertical="top"/>
    </xf>
    <xf numFmtId="6" fontId="15" fillId="2" borderId="1" xfId="0" applyNumberFormat="1" applyFont="1" applyFill="1" applyBorder="1" applyAlignment="1">
      <alignment vertical="top"/>
    </xf>
    <xf numFmtId="6" fontId="7" fillId="0" borderId="1" xfId="0" applyNumberFormat="1" applyFont="1" applyBorder="1" applyAlignment="1">
      <alignment vertical="top"/>
    </xf>
    <xf numFmtId="6" fontId="10" fillId="0" borderId="1" xfId="1" applyNumberFormat="1" applyFont="1" applyFill="1" applyBorder="1" applyAlignment="1">
      <alignment horizontal="right" vertical="top"/>
    </xf>
    <xf numFmtId="6" fontId="7" fillId="2" borderId="1" xfId="0" applyNumberFormat="1" applyFont="1" applyFill="1" applyBorder="1" applyAlignment="1">
      <alignment vertical="top" wrapText="1"/>
    </xf>
    <xf numFmtId="6" fontId="11" fillId="4" borderId="1" xfId="0" applyNumberFormat="1" applyFont="1" applyFill="1" applyBorder="1" applyAlignment="1">
      <alignment vertical="top" wrapText="1"/>
    </xf>
    <xf numFmtId="6" fontId="11" fillId="6" borderId="1" xfId="1" applyNumberFormat="1" applyFont="1" applyFill="1" applyBorder="1" applyAlignment="1">
      <alignment vertical="top"/>
    </xf>
    <xf numFmtId="6" fontId="6" fillId="4" borderId="1" xfId="0" applyNumberFormat="1" applyFont="1" applyFill="1" applyBorder="1" applyAlignment="1">
      <alignment vertical="top" wrapText="1"/>
    </xf>
    <xf numFmtId="6" fontId="10" fillId="0" borderId="1" xfId="0" applyNumberFormat="1" applyFont="1" applyBorder="1" applyAlignment="1">
      <alignment vertical="top"/>
    </xf>
    <xf numFmtId="6" fontId="11" fillId="0" borderId="1" xfId="0" applyNumberFormat="1" applyFont="1" applyBorder="1" applyAlignment="1">
      <alignment vertical="top"/>
    </xf>
    <xf numFmtId="6" fontId="18" fillId="0" borderId="1" xfId="0" applyNumberFormat="1" applyFont="1" applyBorder="1" applyAlignment="1">
      <alignment vertical="top"/>
    </xf>
    <xf numFmtId="6" fontId="18" fillId="0" borderId="1" xfId="0" applyNumberFormat="1" applyFont="1" applyBorder="1" applyAlignment="1">
      <alignment vertical="top" wrapText="1"/>
    </xf>
    <xf numFmtId="6" fontId="24" fillId="4" borderId="1" xfId="0" applyNumberFormat="1" applyFont="1" applyFill="1" applyBorder="1" applyAlignment="1">
      <alignment vertical="top" wrapText="1"/>
    </xf>
    <xf numFmtId="6" fontId="20" fillId="0" borderId="1" xfId="0" applyNumberFormat="1" applyFont="1" applyBorder="1" applyAlignment="1">
      <alignment vertical="top" wrapText="1"/>
    </xf>
    <xf numFmtId="0" fontId="26" fillId="0" borderId="1" xfId="0" applyFont="1" applyBorder="1" applyAlignment="1">
      <alignment horizontal="left" vertical="top" wrapText="1"/>
    </xf>
    <xf numFmtId="17" fontId="27" fillId="0" borderId="1" xfId="0" applyNumberFormat="1" applyFont="1" applyBorder="1" applyAlignment="1">
      <alignment horizontal="left" vertical="top"/>
    </xf>
    <xf numFmtId="0" fontId="27" fillId="0" borderId="1" xfId="0" applyFont="1" applyBorder="1" applyAlignment="1">
      <alignment horizontal="left" vertical="top"/>
    </xf>
    <xf numFmtId="0" fontId="27" fillId="0" borderId="0" xfId="0" applyFont="1"/>
    <xf numFmtId="0" fontId="27" fillId="0" borderId="1" xfId="0" applyFont="1" applyBorder="1"/>
    <xf numFmtId="166" fontId="27" fillId="0" borderId="1" xfId="0" applyNumberFormat="1" applyFont="1" applyBorder="1" applyAlignment="1">
      <alignment horizontal="right" vertical="top"/>
    </xf>
    <xf numFmtId="166" fontId="27" fillId="0" borderId="0" xfId="0" applyNumberFormat="1" applyFont="1"/>
    <xf numFmtId="166" fontId="26" fillId="0" borderId="0" xfId="0" applyNumberFormat="1" applyFont="1"/>
    <xf numFmtId="166" fontId="3" fillId="0" borderId="1" xfId="0" applyNumberFormat="1" applyFont="1" applyBorder="1" applyAlignment="1">
      <alignment horizontal="left" vertical="top"/>
    </xf>
    <xf numFmtId="164" fontId="2" fillId="0" borderId="0" xfId="1" applyFont="1" applyBorder="1" applyAlignment="1">
      <alignment vertical="top"/>
    </xf>
    <xf numFmtId="3" fontId="27" fillId="0" borderId="1" xfId="0" applyNumberFormat="1" applyFont="1" applyBorder="1" applyAlignment="1">
      <alignment horizontal="right"/>
    </xf>
    <xf numFmtId="166" fontId="26" fillId="0" borderId="1" xfId="0" applyNumberFormat="1" applyFont="1" applyBorder="1" applyAlignment="1">
      <alignment horizontal="right"/>
    </xf>
    <xf numFmtId="166" fontId="27" fillId="0" borderId="1" xfId="0" applyNumberFormat="1" applyFont="1" applyBorder="1" applyAlignment="1">
      <alignment horizontal="right"/>
    </xf>
    <xf numFmtId="6" fontId="7" fillId="0" borderId="1" xfId="0" applyNumberFormat="1" applyFont="1" applyBorder="1" applyAlignment="1">
      <alignment vertical="top" wrapText="1"/>
    </xf>
    <xf numFmtId="6" fontId="6" fillId="0" borderId="1" xfId="0" applyNumberFormat="1" applyFont="1" applyBorder="1" applyAlignment="1">
      <alignment vertical="top" wrapText="1"/>
    </xf>
    <xf numFmtId="166" fontId="10" fillId="0" borderId="0" xfId="0" applyNumberFormat="1" applyFont="1" applyAlignment="1">
      <alignment vertical="top"/>
    </xf>
    <xf numFmtId="17" fontId="27" fillId="8" borderId="1" xfId="0" applyNumberFormat="1" applyFont="1" applyFill="1" applyBorder="1" applyAlignment="1">
      <alignment horizontal="left" vertical="top"/>
    </xf>
    <xf numFmtId="0" fontId="27" fillId="8" borderId="1" xfId="0" applyFont="1" applyFill="1" applyBorder="1" applyAlignment="1">
      <alignment horizontal="left" vertical="top"/>
    </xf>
    <xf numFmtId="166" fontId="27" fillId="8" borderId="1" xfId="0" applyNumberFormat="1" applyFont="1" applyFill="1" applyBorder="1" applyAlignment="1">
      <alignment horizontal="right" vertical="top"/>
    </xf>
    <xf numFmtId="3" fontId="27" fillId="8" borderId="1" xfId="0" applyNumberFormat="1" applyFont="1" applyFill="1" applyBorder="1" applyAlignment="1">
      <alignment horizontal="right"/>
    </xf>
    <xf numFmtId="14" fontId="29" fillId="0" borderId="1" xfId="0" applyNumberFormat="1" applyFont="1" applyBorder="1" applyAlignment="1">
      <alignment horizontal="left" vertical="top"/>
    </xf>
    <xf numFmtId="0" fontId="29" fillId="0" borderId="1" xfId="0" applyFont="1" applyBorder="1" applyAlignment="1">
      <alignment horizontal="left" vertical="top"/>
    </xf>
    <xf numFmtId="0" fontId="10" fillId="0" borderId="1" xfId="0" applyFont="1" applyBorder="1" applyAlignment="1">
      <alignment horizontal="left" vertical="top"/>
    </xf>
    <xf numFmtId="166" fontId="0" fillId="0" borderId="0" xfId="0" applyNumberFormat="1" applyAlignment="1">
      <alignment vertical="top"/>
    </xf>
    <xf numFmtId="166" fontId="30" fillId="0" borderId="0" xfId="0" applyNumberFormat="1" applyFont="1" applyAlignment="1">
      <alignment horizontal="left" vertical="top"/>
    </xf>
    <xf numFmtId="166" fontId="30" fillId="0" borderId="20" xfId="0" applyNumberFormat="1" applyFont="1" applyBorder="1" applyAlignment="1">
      <alignment horizontal="left" vertical="top"/>
    </xf>
    <xf numFmtId="0" fontId="30" fillId="0" borderId="0" xfId="0" applyFont="1" applyAlignment="1">
      <alignment horizontal="left" vertical="top"/>
    </xf>
    <xf numFmtId="8" fontId="30" fillId="0" borderId="0" xfId="0" applyNumberFormat="1" applyFont="1" applyAlignment="1">
      <alignment horizontal="left" vertical="top"/>
    </xf>
    <xf numFmtId="166" fontId="30" fillId="0" borderId="20" xfId="0" applyNumberFormat="1" applyFont="1" applyBorder="1" applyAlignment="1">
      <alignment horizontal="right" vertical="top"/>
    </xf>
    <xf numFmtId="166" fontId="30" fillId="0" borderId="0" xfId="0" applyNumberFormat="1" applyFont="1" applyAlignment="1">
      <alignment horizontal="right" vertical="top"/>
    </xf>
    <xf numFmtId="17" fontId="30" fillId="0" borderId="0" xfId="0" applyNumberFormat="1" applyFont="1" applyAlignment="1">
      <alignment horizontal="left" vertical="top"/>
    </xf>
    <xf numFmtId="0" fontId="18" fillId="0" borderId="0" xfId="0" applyFont="1" applyAlignment="1">
      <alignment horizontal="left" vertical="top"/>
    </xf>
    <xf numFmtId="8" fontId="18" fillId="0" borderId="21" xfId="0" applyNumberFormat="1" applyFont="1" applyBorder="1" applyAlignment="1">
      <alignment vertical="top"/>
    </xf>
    <xf numFmtId="8" fontId="18" fillId="0" borderId="1" xfId="0" applyNumberFormat="1" applyFont="1" applyBorder="1" applyAlignment="1">
      <alignment vertical="top"/>
    </xf>
    <xf numFmtId="0" fontId="18" fillId="0" borderId="1" xfId="0" applyFont="1" applyBorder="1" applyAlignment="1">
      <alignment horizontal="right" vertical="top"/>
    </xf>
    <xf numFmtId="8" fontId="30" fillId="0" borderId="1" xfId="0" applyNumberFormat="1" applyFont="1" applyBorder="1" applyAlignment="1">
      <alignment vertical="top"/>
    </xf>
    <xf numFmtId="0" fontId="30" fillId="0" borderId="1" xfId="0" applyFont="1" applyBorder="1" applyAlignment="1">
      <alignment horizontal="left" vertical="top"/>
    </xf>
    <xf numFmtId="0" fontId="30" fillId="0" borderId="1" xfId="0" applyFont="1" applyBorder="1" applyAlignment="1">
      <alignment horizontal="left" vertical="top" wrapText="1"/>
    </xf>
    <xf numFmtId="8" fontId="30" fillId="0" borderId="2" xfId="0" applyNumberFormat="1" applyFont="1" applyBorder="1" applyAlignment="1">
      <alignment vertical="top"/>
    </xf>
    <xf numFmtId="8" fontId="30" fillId="0" borderId="19" xfId="0" applyNumberFormat="1" applyFont="1" applyBorder="1" applyAlignment="1">
      <alignment vertical="top"/>
    </xf>
    <xf numFmtId="0" fontId="30" fillId="0" borderId="1" xfId="0" applyFont="1" applyBorder="1" applyAlignment="1">
      <alignment horizontal="right" vertical="top"/>
    </xf>
    <xf numFmtId="0" fontId="10" fillId="0" borderId="0" xfId="0" applyFont="1" applyAlignment="1">
      <alignment horizontal="left" vertical="top"/>
    </xf>
    <xf numFmtId="166" fontId="10" fillId="0" borderId="0" xfId="0" applyNumberFormat="1" applyFont="1" applyAlignment="1">
      <alignment horizontal="right" vertical="top"/>
    </xf>
    <xf numFmtId="0" fontId="26" fillId="0" borderId="0" xfId="0" applyFont="1" applyAlignment="1">
      <alignment horizontal="left" vertical="top"/>
    </xf>
    <xf numFmtId="14" fontId="10" fillId="0" borderId="1" xfId="0" applyNumberFormat="1" applyFont="1" applyBorder="1" applyAlignment="1">
      <alignment horizontal="left" vertical="top"/>
    </xf>
    <xf numFmtId="0" fontId="29" fillId="0" borderId="1" xfId="0" applyFont="1" applyBorder="1" applyAlignment="1">
      <alignment vertical="top"/>
    </xf>
    <xf numFmtId="0" fontId="29" fillId="0" borderId="1" xfId="0" applyFont="1" applyBorder="1" applyAlignment="1">
      <alignment horizontal="center" vertical="top"/>
    </xf>
    <xf numFmtId="164" fontId="31" fillId="2" borderId="1" xfId="1" applyFont="1" applyFill="1" applyBorder="1" applyAlignment="1">
      <alignment vertical="top"/>
    </xf>
    <xf numFmtId="164" fontId="32" fillId="2" borderId="1" xfId="1" applyFont="1" applyFill="1" applyBorder="1" applyAlignment="1">
      <alignment vertical="top"/>
    </xf>
    <xf numFmtId="14" fontId="29" fillId="8" borderId="1" xfId="0" applyNumberFormat="1" applyFont="1" applyFill="1" applyBorder="1" applyAlignment="1">
      <alignment horizontal="right" vertical="top"/>
    </xf>
    <xf numFmtId="14" fontId="29" fillId="0" borderId="0" xfId="0" applyNumberFormat="1"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164" fontId="29" fillId="2" borderId="0" xfId="1" applyFont="1" applyFill="1" applyAlignment="1">
      <alignment vertical="top"/>
    </xf>
    <xf numFmtId="164" fontId="32" fillId="2" borderId="0" xfId="1" applyFont="1" applyFill="1" applyAlignment="1">
      <alignment vertical="top"/>
    </xf>
    <xf numFmtId="164" fontId="29" fillId="0" borderId="0" xfId="1" applyFont="1" applyAlignment="1">
      <alignment vertical="top"/>
    </xf>
    <xf numFmtId="164" fontId="29" fillId="3" borderId="0" xfId="1" applyFont="1" applyFill="1" applyAlignment="1">
      <alignment vertical="top"/>
    </xf>
    <xf numFmtId="164" fontId="29" fillId="0" borderId="0" xfId="1" applyFont="1" applyFill="1" applyAlignment="1">
      <alignment vertical="top"/>
    </xf>
    <xf numFmtId="0" fontId="29" fillId="0" borderId="0" xfId="0" applyFont="1" applyAlignment="1">
      <alignment horizontal="left" vertical="top"/>
    </xf>
    <xf numFmtId="0" fontId="29" fillId="0" borderId="0" xfId="0" applyFont="1" applyAlignment="1">
      <alignment horizontal="left" vertical="top" wrapText="1"/>
    </xf>
    <xf numFmtId="164" fontId="29" fillId="2" borderId="0" xfId="1" applyFont="1" applyFill="1" applyAlignment="1">
      <alignment horizontal="left" vertical="top"/>
    </xf>
    <xf numFmtId="164" fontId="32" fillId="2" borderId="0" xfId="1" applyFont="1" applyFill="1" applyAlignment="1">
      <alignment horizontal="left" vertical="top"/>
    </xf>
    <xf numFmtId="164" fontId="29" fillId="0" borderId="0" xfId="1" applyFont="1" applyAlignment="1">
      <alignment horizontal="left" vertical="top"/>
    </xf>
    <xf numFmtId="164" fontId="29" fillId="3" borderId="0" xfId="1" applyFont="1" applyFill="1" applyAlignment="1">
      <alignment horizontal="left" vertical="top" wrapText="1"/>
    </xf>
    <xf numFmtId="164" fontId="29" fillId="3" borderId="0" xfId="1" applyFont="1" applyFill="1" applyAlignment="1">
      <alignment horizontal="left" vertical="top"/>
    </xf>
    <xf numFmtId="164" fontId="29" fillId="0" borderId="0" xfId="1" applyFont="1" applyFill="1" applyAlignment="1">
      <alignment horizontal="left" vertical="top" wrapText="1"/>
    </xf>
    <xf numFmtId="164" fontId="29" fillId="0" borderId="0" xfId="1" applyFont="1" applyAlignment="1">
      <alignment horizontal="left" vertical="top" wrapText="1"/>
    </xf>
    <xf numFmtId="14" fontId="33" fillId="8" borderId="1" xfId="0" applyNumberFormat="1" applyFont="1" applyFill="1" applyBorder="1" applyAlignment="1">
      <alignment horizontal="left" vertical="top"/>
    </xf>
    <xf numFmtId="0" fontId="33" fillId="8" borderId="0" xfId="0" applyFont="1" applyFill="1" applyAlignment="1">
      <alignment horizontal="left" vertical="top"/>
    </xf>
    <xf numFmtId="0" fontId="29" fillId="0" borderId="0" xfId="0" applyFont="1" applyAlignment="1">
      <alignment horizontal="center" vertical="top" wrapText="1"/>
    </xf>
    <xf numFmtId="164" fontId="34" fillId="7" borderId="1" xfId="1" applyFont="1" applyFill="1" applyBorder="1" applyAlignment="1">
      <alignment horizontal="left" vertical="top" wrapText="1"/>
    </xf>
    <xf numFmtId="14" fontId="29" fillId="8" borderId="1" xfId="0" applyNumberFormat="1" applyFont="1" applyFill="1" applyBorder="1"/>
    <xf numFmtId="0" fontId="29" fillId="0" borderId="1" xfId="0" applyFont="1" applyBorder="1"/>
    <xf numFmtId="164" fontId="29" fillId="3" borderId="1" xfId="1" applyFont="1" applyFill="1" applyBorder="1" applyAlignment="1">
      <alignment vertical="top"/>
    </xf>
    <xf numFmtId="164" fontId="29" fillId="0" borderId="1" xfId="1" applyFont="1" applyFill="1" applyBorder="1" applyAlignment="1">
      <alignment vertical="top"/>
    </xf>
    <xf numFmtId="164" fontId="29" fillId="0" borderId="1" xfId="1" applyFont="1" applyFill="1" applyBorder="1" applyAlignment="1">
      <alignment horizontal="left" vertical="top" wrapText="1"/>
    </xf>
    <xf numFmtId="164" fontId="29" fillId="0" borderId="1" xfId="0" applyNumberFormat="1" applyFont="1" applyBorder="1" applyAlignment="1">
      <alignment horizontal="center" vertical="top"/>
    </xf>
    <xf numFmtId="164" fontId="29" fillId="0" borderId="1" xfId="0" applyNumberFormat="1" applyFont="1" applyBorder="1" applyAlignment="1">
      <alignment horizontal="left" vertical="top"/>
    </xf>
    <xf numFmtId="164" fontId="29" fillId="0" borderId="1" xfId="1" applyFont="1" applyBorder="1" applyAlignment="1">
      <alignment vertical="top"/>
    </xf>
    <xf numFmtId="164" fontId="29" fillId="0" borderId="0" xfId="1" applyFont="1" applyFill="1" applyBorder="1" applyAlignment="1">
      <alignment vertical="top"/>
    </xf>
    <xf numFmtId="164" fontId="29" fillId="0" borderId="15" xfId="1" applyFont="1" applyBorder="1" applyAlignment="1">
      <alignment vertical="top"/>
    </xf>
    <xf numFmtId="164" fontId="29" fillId="0" borderId="17" xfId="1" applyFont="1" applyFill="1" applyBorder="1" applyAlignment="1">
      <alignment vertical="top"/>
    </xf>
    <xf numFmtId="14" fontId="29" fillId="7" borderId="1" xfId="0" applyNumberFormat="1" applyFont="1" applyFill="1" applyBorder="1" applyAlignment="1">
      <alignment horizontal="left" vertical="top"/>
    </xf>
    <xf numFmtId="0" fontId="29" fillId="7" borderId="1" xfId="0" applyFont="1" applyFill="1" applyBorder="1" applyAlignment="1">
      <alignment vertical="top"/>
    </xf>
    <xf numFmtId="0" fontId="29" fillId="7" borderId="1" xfId="0" applyFont="1" applyFill="1" applyBorder="1" applyAlignment="1">
      <alignment horizontal="center" vertical="top"/>
    </xf>
    <xf numFmtId="0" fontId="36" fillId="7" borderId="1" xfId="0" applyFont="1" applyFill="1" applyBorder="1" applyAlignment="1">
      <alignment vertical="top"/>
    </xf>
    <xf numFmtId="0" fontId="29" fillId="7" borderId="2" xfId="0" applyFont="1" applyFill="1" applyBorder="1" applyAlignment="1">
      <alignment vertical="top"/>
    </xf>
    <xf numFmtId="164" fontId="31" fillId="7" borderId="2" xfId="1" applyFont="1" applyFill="1" applyBorder="1" applyAlignment="1">
      <alignment vertical="top"/>
    </xf>
    <xf numFmtId="164" fontId="32" fillId="7" borderId="2" xfId="1" applyFont="1" applyFill="1" applyBorder="1" applyAlignment="1">
      <alignment vertical="top"/>
    </xf>
    <xf numFmtId="164" fontId="29" fillId="7" borderId="15" xfId="1" applyFont="1" applyFill="1" applyBorder="1" applyAlignment="1">
      <alignment vertical="top"/>
    </xf>
    <xf numFmtId="164" fontId="29" fillId="7" borderId="2" xfId="1" applyFont="1" applyFill="1" applyBorder="1" applyAlignment="1">
      <alignment vertical="top"/>
    </xf>
    <xf numFmtId="164" fontId="29" fillId="7" borderId="1" xfId="1" applyFont="1" applyFill="1" applyBorder="1" applyAlignment="1">
      <alignment vertical="top"/>
    </xf>
    <xf numFmtId="164" fontId="29" fillId="7" borderId="17" xfId="1" applyFont="1" applyFill="1" applyBorder="1" applyAlignment="1">
      <alignment vertical="top"/>
    </xf>
    <xf numFmtId="0" fontId="29" fillId="0" borderId="18" xfId="1" applyNumberFormat="1" applyFont="1" applyBorder="1" applyAlignment="1">
      <alignment vertical="top"/>
    </xf>
    <xf numFmtId="164" fontId="29" fillId="2" borderId="1" xfId="1" applyFont="1" applyFill="1" applyBorder="1" applyAlignment="1">
      <alignment vertical="top"/>
    </xf>
    <xf numFmtId="164" fontId="37" fillId="2" borderId="2" xfId="1" applyFont="1" applyFill="1" applyBorder="1" applyAlignment="1">
      <alignment vertical="top"/>
    </xf>
    <xf numFmtId="164" fontId="33" fillId="0" borderId="0" xfId="1" applyFont="1" applyBorder="1" applyAlignment="1">
      <alignment vertical="top"/>
    </xf>
    <xf numFmtId="164" fontId="37" fillId="2" borderId="1" xfId="1" applyFont="1" applyFill="1" applyBorder="1" applyAlignment="1">
      <alignment vertical="top"/>
    </xf>
    <xf numFmtId="164" fontId="32" fillId="0" borderId="1" xfId="1" applyFont="1" applyBorder="1" applyAlignment="1">
      <alignment vertical="top"/>
    </xf>
    <xf numFmtId="0" fontId="29" fillId="0" borderId="1" xfId="0" applyFont="1" applyBorder="1" applyAlignment="1">
      <alignment horizontal="right" vertical="top"/>
    </xf>
    <xf numFmtId="164" fontId="35" fillId="2" borderId="1" xfId="1" applyFont="1" applyFill="1" applyBorder="1" applyAlignment="1">
      <alignment vertical="top"/>
    </xf>
    <xf numFmtId="6" fontId="18" fillId="0" borderId="1" xfId="0" applyNumberFormat="1" applyFont="1" applyBorder="1" applyAlignment="1">
      <alignment horizontal="right" vertical="top"/>
    </xf>
    <xf numFmtId="8" fontId="35" fillId="2" borderId="1" xfId="0" applyNumberFormat="1" applyFont="1" applyFill="1" applyBorder="1"/>
    <xf numFmtId="8" fontId="32" fillId="2" borderId="1" xfId="0" applyNumberFormat="1" applyFont="1" applyFill="1" applyBorder="1"/>
    <xf numFmtId="164" fontId="35" fillId="2" borderId="2" xfId="1" applyFont="1" applyFill="1" applyBorder="1" applyAlignment="1">
      <alignment vertical="top"/>
    </xf>
    <xf numFmtId="14" fontId="29" fillId="10" borderId="1" xfId="0" applyNumberFormat="1" applyFont="1" applyFill="1" applyBorder="1" applyAlignment="1">
      <alignment horizontal="left" vertical="top"/>
    </xf>
    <xf numFmtId="0" fontId="29" fillId="0" borderId="0" xfId="0" applyFont="1" applyAlignment="1">
      <alignment horizontal="right" vertical="top"/>
    </xf>
    <xf numFmtId="0" fontId="29" fillId="0" borderId="1" xfId="0" applyFont="1" applyBorder="1" applyAlignment="1">
      <alignment horizontal="right"/>
    </xf>
    <xf numFmtId="0" fontId="29" fillId="7" borderId="1" xfId="0" applyFont="1" applyFill="1" applyBorder="1" applyAlignment="1">
      <alignment horizontal="right" vertical="top"/>
    </xf>
    <xf numFmtId="8" fontId="27" fillId="8" borderId="1" xfId="0" applyNumberFormat="1" applyFont="1" applyFill="1" applyBorder="1"/>
    <xf numFmtId="8" fontId="27" fillId="8" borderId="1" xfId="0" applyNumberFormat="1" applyFont="1" applyFill="1" applyBorder="1" applyAlignment="1">
      <alignment horizontal="right" vertical="top"/>
    </xf>
    <xf numFmtId="0" fontId="27" fillId="8" borderId="1" xfId="0" applyFont="1" applyFill="1" applyBorder="1"/>
    <xf numFmtId="0" fontId="27" fillId="0" borderId="1" xfId="0" applyFont="1" applyBorder="1" applyAlignment="1">
      <alignment vertical="top" wrapText="1"/>
    </xf>
    <xf numFmtId="3" fontId="27" fillId="0" borderId="1" xfId="0" applyNumberFormat="1" applyFont="1" applyBorder="1" applyAlignment="1">
      <alignment horizontal="left" vertical="top" wrapText="1"/>
    </xf>
    <xf numFmtId="8" fontId="27" fillId="0" borderId="1" xfId="0" applyNumberFormat="1" applyFont="1" applyBorder="1"/>
    <xf numFmtId="17" fontId="27" fillId="6" borderId="1" xfId="0" applyNumberFormat="1" applyFont="1" applyFill="1" applyBorder="1" applyAlignment="1">
      <alignment horizontal="left" vertical="top"/>
    </xf>
    <xf numFmtId="0" fontId="27" fillId="6" borderId="1" xfId="0" applyFont="1" applyFill="1" applyBorder="1" applyAlignment="1">
      <alignment horizontal="left" vertical="top"/>
    </xf>
    <xf numFmtId="166" fontId="27" fillId="6" borderId="1" xfId="0" applyNumberFormat="1" applyFont="1" applyFill="1" applyBorder="1" applyAlignment="1">
      <alignment horizontal="right" vertical="top"/>
    </xf>
    <xf numFmtId="3" fontId="27" fillId="6" borderId="1" xfId="0" applyNumberFormat="1" applyFont="1" applyFill="1" applyBorder="1" applyAlignment="1">
      <alignment horizontal="right"/>
    </xf>
    <xf numFmtId="0" fontId="27" fillId="6" borderId="1" xfId="0" applyFont="1" applyFill="1" applyBorder="1"/>
    <xf numFmtId="0" fontId="29" fillId="0" borderId="0" xfId="0" applyFont="1" applyAlignment="1">
      <alignment vertical="top" wrapText="1"/>
    </xf>
    <xf numFmtId="0" fontId="29" fillId="0" borderId="1" xfId="0" applyFont="1" applyBorder="1" applyAlignment="1">
      <alignment wrapText="1"/>
    </xf>
    <xf numFmtId="0" fontId="29" fillId="0" borderId="1" xfId="0" applyFont="1" applyBorder="1" applyAlignment="1">
      <alignment horizontal="left" vertical="top" wrapText="1"/>
    </xf>
    <xf numFmtId="14" fontId="29" fillId="0" borderId="1" xfId="0" applyNumberFormat="1" applyFont="1" applyBorder="1" applyAlignment="1">
      <alignment horizontal="left" vertical="top" wrapText="1"/>
    </xf>
    <xf numFmtId="0" fontId="29" fillId="7" borderId="1" xfId="0" applyFont="1" applyFill="1" applyBorder="1" applyAlignment="1">
      <alignment horizontal="left" vertical="top" wrapText="1"/>
    </xf>
    <xf numFmtId="0" fontId="29" fillId="0" borderId="1" xfId="0" applyFont="1" applyBorder="1" applyAlignment="1">
      <alignment vertical="top" wrapText="1"/>
    </xf>
    <xf numFmtId="164" fontId="32" fillId="2" borderId="2" xfId="1" applyFont="1" applyFill="1" applyBorder="1" applyAlignment="1">
      <alignment vertical="top"/>
    </xf>
    <xf numFmtId="164" fontId="29" fillId="0" borderId="2" xfId="1" applyFont="1" applyBorder="1" applyAlignment="1">
      <alignment vertical="top"/>
    </xf>
    <xf numFmtId="164" fontId="29" fillId="0" borderId="2" xfId="1" applyFont="1" applyFill="1" applyBorder="1" applyAlignment="1">
      <alignment vertical="top"/>
    </xf>
    <xf numFmtId="164" fontId="31" fillId="2" borderId="2" xfId="1" applyFont="1" applyFill="1" applyBorder="1" applyAlignment="1">
      <alignment vertical="top"/>
    </xf>
    <xf numFmtId="17" fontId="29" fillId="0" borderId="1" xfId="0" quotePrefix="1" applyNumberFormat="1" applyFont="1" applyBorder="1" applyAlignment="1">
      <alignment horizontal="right" vertical="top"/>
    </xf>
    <xf numFmtId="0" fontId="0" fillId="0" borderId="1" xfId="0" applyBorder="1" applyAlignment="1">
      <alignment horizontal="right" vertical="top"/>
    </xf>
    <xf numFmtId="0" fontId="36" fillId="0" borderId="1" xfId="0" applyFont="1" applyBorder="1" applyAlignment="1">
      <alignment horizontal="right" vertical="top"/>
    </xf>
    <xf numFmtId="164" fontId="32" fillId="3" borderId="1" xfId="1" applyFont="1" applyFill="1" applyBorder="1" applyAlignment="1">
      <alignment vertical="top"/>
    </xf>
    <xf numFmtId="14" fontId="3" fillId="0" borderId="1" xfId="0" applyNumberFormat="1" applyFont="1" applyBorder="1" applyAlignment="1">
      <alignment horizontal="right" vertical="top" wrapText="1"/>
    </xf>
    <xf numFmtId="14" fontId="0" fillId="0" borderId="1" xfId="0" applyNumberFormat="1" applyBorder="1" applyAlignment="1">
      <alignment horizontal="right" vertical="top"/>
    </xf>
    <xf numFmtId="0" fontId="0" fillId="0" borderId="0" xfId="0" applyAlignment="1">
      <alignment horizontal="right" vertical="top"/>
    </xf>
    <xf numFmtId="167" fontId="10" fillId="0" borderId="0" xfId="0" applyNumberFormat="1" applyFont="1" applyAlignment="1">
      <alignment horizontal="left" vertical="top" wrapText="1"/>
    </xf>
  </cellXfs>
  <cellStyles count="7">
    <cellStyle name="Comma 2" xfId="3" xr:uid="{88D4E69E-3B6D-438E-9426-F436CD04EE93}"/>
    <cellStyle name="Comma 3" xfId="6" xr:uid="{BE5EB1E2-0D6C-DC4C-886C-2D6FF7660D7B}"/>
    <cellStyle name="Currency" xfId="1" builtinId="4"/>
    <cellStyle name="Currency 2" xfId="5" xr:uid="{F60F07C6-8BB0-4EC9-8701-D3B8ACC45052}"/>
    <cellStyle name="Normal" xfId="0" builtinId="0"/>
    <cellStyle name="Normal 2" xfId="2" xr:uid="{B945340E-E68D-46C4-961A-1801C8B97DC8}"/>
    <cellStyle name="Normal 3" xfId="4" xr:uid="{E5F99404-17F8-4155-8BC3-BE32C1E3439E}"/>
  </cellStyles>
  <dxfs count="1">
    <dxf>
      <font>
        <color rgb="FF9C0006"/>
      </font>
      <fill>
        <patternFill>
          <bgColor rgb="FFFFC7CE"/>
        </patternFill>
      </fill>
    </dxf>
  </dxfs>
  <tableStyles count="0" defaultTableStyle="TableStyleMedium2" defaultPivotStyle="PivotStyleLight16"/>
  <colors>
    <mruColors>
      <color rgb="FF0432FF"/>
      <color rgb="FFCCECFF"/>
      <color rgb="FFB4C6E7"/>
      <color rgb="FFFFFF00"/>
      <color rgb="FF99FF66"/>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Morag Birch" id="{460BA93C-3666-0346-9902-065CA614DEC0}" userId="7e44cb58a767b515" providerId="Windows Live"/>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24" dT="2025-08-24T10:34:42.57" personId="{460BA93C-3666-0346-9902-065CA614DEC0}" id="{0BD08D6E-F742-2848-80BB-634A84E782F5}">
    <text>Allotment Water Supply (Actual reading 23/5/25. Previous Actual 25/1/24) (Charge increased from £1.9706 to £2.7702 /m3 1st April 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C12A-F819-4909-BCAD-86A1D00E023E}">
  <sheetPr>
    <pageSetUpPr fitToPage="1"/>
  </sheetPr>
  <dimension ref="A1:N73"/>
  <sheetViews>
    <sheetView tabSelected="1" zoomScale="160" zoomScaleNormal="160" workbookViewId="0">
      <pane xSplit="5" ySplit="3" topLeftCell="F34" activePane="bottomRight" state="frozen"/>
      <selection pane="topRight" activeCell="E1" sqref="E1"/>
      <selection pane="bottomLeft" activeCell="A4" sqref="A4"/>
      <selection pane="bottomRight" activeCell="D47" sqref="D47"/>
    </sheetView>
  </sheetViews>
  <sheetFormatPr baseColWidth="10" defaultColWidth="8.6640625" defaultRowHeight="14" x14ac:dyDescent="0.2"/>
  <cols>
    <col min="1" max="2" width="12.6640625" style="50" customWidth="1"/>
    <col min="3" max="3" width="7" style="50" hidden="1" customWidth="1"/>
    <col min="4" max="4" width="30.83203125" style="80" customWidth="1"/>
    <col min="5" max="5" width="14.5" style="3" customWidth="1"/>
    <col min="6" max="6" width="14.1640625" style="55" customWidth="1"/>
    <col min="7" max="7" width="14.6640625" style="99" customWidth="1"/>
    <col min="8" max="8" width="38.1640625" style="3" customWidth="1"/>
    <col min="9" max="9" width="9" style="81" customWidth="1"/>
    <col min="10" max="16384" width="8.6640625" style="3"/>
  </cols>
  <sheetData>
    <row r="1" spans="1:14" ht="20" x14ac:dyDescent="0.2">
      <c r="A1" s="2" t="s">
        <v>629</v>
      </c>
      <c r="B1" s="2"/>
      <c r="C1" s="2"/>
    </row>
    <row r="2" spans="1:14" ht="21" thickBot="1" x14ac:dyDescent="0.25">
      <c r="A2" s="3"/>
      <c r="B2" s="2"/>
      <c r="C2" s="2"/>
      <c r="E2" s="4"/>
      <c r="F2" s="56"/>
    </row>
    <row r="3" spans="1:14" s="8" customFormat="1" ht="60" x14ac:dyDescent="0.2">
      <c r="A3" s="5" t="s">
        <v>0</v>
      </c>
      <c r="B3" s="6" t="s">
        <v>1</v>
      </c>
      <c r="C3" s="136" t="s">
        <v>381</v>
      </c>
      <c r="D3" s="7" t="s">
        <v>2</v>
      </c>
      <c r="E3" s="7" t="s">
        <v>628</v>
      </c>
      <c r="F3" s="73" t="s">
        <v>251</v>
      </c>
      <c r="G3" s="100" t="s">
        <v>252</v>
      </c>
      <c r="H3" s="4" t="s">
        <v>130</v>
      </c>
      <c r="I3" s="82" t="s">
        <v>133</v>
      </c>
      <c r="J3" s="79"/>
      <c r="K3" s="79"/>
      <c r="L3" s="79"/>
      <c r="M3" s="79"/>
      <c r="N3" s="79"/>
    </row>
    <row r="4" spans="1:14" ht="19" x14ac:dyDescent="0.2">
      <c r="A4" s="9" t="s">
        <v>3</v>
      </c>
      <c r="B4" s="10"/>
      <c r="C4" s="10"/>
      <c r="D4" s="25"/>
      <c r="E4" s="11"/>
      <c r="F4" s="74"/>
      <c r="G4" s="101"/>
    </row>
    <row r="5" spans="1:14" s="14" customFormat="1" ht="15" x14ac:dyDescent="0.2">
      <c r="A5" s="12"/>
      <c r="B5" s="13" t="s">
        <v>4</v>
      </c>
      <c r="C5" s="13" t="s">
        <v>382</v>
      </c>
      <c r="D5" s="13" t="s">
        <v>5</v>
      </c>
      <c r="E5" s="157">
        <v>26500</v>
      </c>
      <c r="F5" s="72">
        <f>Activity!H24+Activity!H77</f>
        <v>26500</v>
      </c>
      <c r="G5" s="116">
        <f t="shared" ref="G5:G8" si="0">E5-F5</f>
        <v>0</v>
      </c>
      <c r="I5" s="83"/>
    </row>
    <row r="6" spans="1:14" s="14" customFormat="1" ht="15" x14ac:dyDescent="0.2">
      <c r="A6" s="15"/>
      <c r="B6" s="13" t="s">
        <v>6</v>
      </c>
      <c r="C6" s="13" t="s">
        <v>383</v>
      </c>
      <c r="D6" s="13" t="s">
        <v>7</v>
      </c>
      <c r="E6" s="157">
        <v>350</v>
      </c>
      <c r="F6" s="109">
        <f>+Activity!H96+Activity!H97+Activity!H98+Activity!H99+Activity!H100+Activity!H102+Activity!H103+Activity!H104+Activity!H107+Activity!H114+Activity!H115+Activity!H117+Activity!H118+Activity!H120+Activity!H125+Activity!H126+Activity!H146</f>
        <v>400</v>
      </c>
      <c r="G6" s="116">
        <f t="shared" si="0"/>
        <v>-50</v>
      </c>
      <c r="H6" s="132" t="s">
        <v>760</v>
      </c>
      <c r="I6" s="83"/>
    </row>
    <row r="7" spans="1:14" s="14" customFormat="1" ht="15" x14ac:dyDescent="0.2">
      <c r="A7" s="15"/>
      <c r="B7" s="13" t="s">
        <v>8</v>
      </c>
      <c r="C7" s="13" t="s">
        <v>383</v>
      </c>
      <c r="D7" s="13" t="s">
        <v>376</v>
      </c>
      <c r="E7" s="176"/>
      <c r="F7" s="109"/>
      <c r="G7" s="116">
        <f t="shared" si="0"/>
        <v>0</v>
      </c>
      <c r="I7" s="83"/>
    </row>
    <row r="8" spans="1:14" s="14" customFormat="1" ht="30" x14ac:dyDescent="0.2">
      <c r="A8" s="15"/>
      <c r="B8" s="13" t="s">
        <v>9</v>
      </c>
      <c r="C8" s="13" t="s">
        <v>383</v>
      </c>
      <c r="D8" s="13" t="s">
        <v>377</v>
      </c>
      <c r="E8" s="151"/>
      <c r="F8" s="109">
        <f>+Activity!H92+Activity!H124+Activity!H145+Activity!H149</f>
        <v>536</v>
      </c>
      <c r="G8" s="116">
        <f t="shared" si="0"/>
        <v>-536</v>
      </c>
      <c r="H8" s="132" t="s">
        <v>851</v>
      </c>
      <c r="I8" s="83"/>
    </row>
    <row r="9" spans="1:14" s="14" customFormat="1" ht="15" x14ac:dyDescent="0.2">
      <c r="A9" s="15"/>
      <c r="B9" s="13" t="s">
        <v>9</v>
      </c>
      <c r="C9" s="13" t="s">
        <v>383</v>
      </c>
      <c r="D9" s="13" t="s">
        <v>213</v>
      </c>
      <c r="E9" s="151"/>
      <c r="F9" s="109">
        <f>Activity!H30</f>
        <v>729.88</v>
      </c>
      <c r="G9" s="116">
        <f>E9-F9</f>
        <v>-729.88</v>
      </c>
      <c r="H9" s="132" t="s">
        <v>632</v>
      </c>
      <c r="I9" s="83"/>
    </row>
    <row r="10" spans="1:14" s="19" customFormat="1" ht="15" x14ac:dyDescent="0.2">
      <c r="A10" s="16"/>
      <c r="B10" s="17"/>
      <c r="C10" s="17"/>
      <c r="D10" s="18" t="s">
        <v>10</v>
      </c>
      <c r="E10" s="156">
        <f>SUM(E5:E7)</f>
        <v>26850</v>
      </c>
      <c r="F10" s="110">
        <f>SUM(F5:F9)</f>
        <v>28165.88</v>
      </c>
      <c r="G10" s="111">
        <f>(E10-F10)</f>
        <v>-1315.880000000001</v>
      </c>
      <c r="I10" s="84"/>
    </row>
    <row r="11" spans="1:14" s="91" customFormat="1" x14ac:dyDescent="0.2">
      <c r="A11" s="89"/>
      <c r="B11" s="90"/>
      <c r="C11" s="90"/>
      <c r="D11" s="20"/>
      <c r="E11" s="177"/>
      <c r="F11" s="112"/>
      <c r="G11" s="113"/>
      <c r="I11" s="92"/>
    </row>
    <row r="12" spans="1:14" ht="18" x14ac:dyDescent="0.2">
      <c r="A12" s="21" t="s">
        <v>11</v>
      </c>
      <c r="B12" s="22"/>
      <c r="C12" s="22"/>
      <c r="D12" s="25"/>
      <c r="E12" s="145"/>
      <c r="F12" s="114"/>
      <c r="G12" s="115"/>
    </row>
    <row r="13" spans="1:14" s="14" customFormat="1" ht="15" x14ac:dyDescent="0.2">
      <c r="A13" s="23" t="s">
        <v>12</v>
      </c>
      <c r="B13" s="24" t="s">
        <v>13</v>
      </c>
      <c r="C13" s="24" t="s">
        <v>384</v>
      </c>
      <c r="D13" s="25" t="s">
        <v>14</v>
      </c>
      <c r="E13" s="145">
        <v>4411.68</v>
      </c>
      <c r="F13" s="137">
        <f>Activity!M33+Activity!M34+Activity!M43+Activity!M44+Activity!M55+Activity!M56+Activity!M66+Activity!M67+Activity!M78+Activity!M79+Activity!M108+Activity!M109+Activity!M130+Activity!M131+Activity!M150+Activity!M151</f>
        <v>2941.12</v>
      </c>
      <c r="G13" s="116">
        <f t="shared" ref="G13:G47" si="1">E13-F13</f>
        <v>1470.5600000000004</v>
      </c>
      <c r="H13" s="30"/>
      <c r="I13" s="85">
        <f t="shared" ref="I13:I47" si="2">IFERROR(F13/E13,"")</f>
        <v>0.66666666666666663</v>
      </c>
      <c r="J13" s="14" t="str">
        <f>IF(I13="","",IF(I13&gt;100%,"Check",""))</f>
        <v/>
      </c>
    </row>
    <row r="14" spans="1:14" s="14" customFormat="1" ht="15" x14ac:dyDescent="0.2">
      <c r="A14" s="26"/>
      <c r="B14" s="24" t="s">
        <v>15</v>
      </c>
      <c r="C14" s="24" t="s">
        <v>384</v>
      </c>
      <c r="D14" s="25" t="s">
        <v>16</v>
      </c>
      <c r="E14" s="145">
        <v>441.16800000000006</v>
      </c>
      <c r="F14" s="138"/>
      <c r="G14" s="116">
        <f t="shared" si="1"/>
        <v>441.16800000000006</v>
      </c>
      <c r="I14" s="85">
        <f t="shared" si="2"/>
        <v>0</v>
      </c>
      <c r="J14" s="14" t="str">
        <f t="shared" ref="J14:J60" si="3">IF(I14="","",IF(I14&gt;100%,"Check",""))</f>
        <v/>
      </c>
    </row>
    <row r="15" spans="1:14" ht="15" x14ac:dyDescent="0.2">
      <c r="A15" s="27"/>
      <c r="B15" s="24" t="s">
        <v>17</v>
      </c>
      <c r="C15" s="24" t="s">
        <v>384</v>
      </c>
      <c r="D15" s="13" t="s">
        <v>18</v>
      </c>
      <c r="E15" s="145">
        <v>1890.72</v>
      </c>
      <c r="F15" s="139">
        <f>Activity!M36+Activity!M37+Activity!M46+Activity!M47+Activity!M58+Activity!M59+Activity!M69+Activity!M70+Activity!M81+Activity!M82+Activity!M111+Activity!M112+Activity!M133+Activity!M134+Activity!M153+Activity!M154</f>
        <v>1260.4799999999998</v>
      </c>
      <c r="G15" s="116">
        <f t="shared" si="1"/>
        <v>630.24000000000024</v>
      </c>
      <c r="H15" s="30"/>
      <c r="I15" s="85">
        <f t="shared" si="2"/>
        <v>0.66666666666666652</v>
      </c>
      <c r="J15" s="14" t="str">
        <f t="shared" si="3"/>
        <v/>
      </c>
    </row>
    <row r="16" spans="1:14" ht="15" x14ac:dyDescent="0.2">
      <c r="A16" s="27"/>
      <c r="B16" s="24" t="s">
        <v>630</v>
      </c>
      <c r="C16" s="24"/>
      <c r="D16" s="13" t="s">
        <v>631</v>
      </c>
      <c r="E16" s="145">
        <v>261.53520000000003</v>
      </c>
      <c r="F16" s="139">
        <f>+Activity!M136+Activity!M155</f>
        <v>145.29</v>
      </c>
      <c r="G16" s="116">
        <f t="shared" si="1"/>
        <v>116.24520000000004</v>
      </c>
      <c r="H16" s="30"/>
      <c r="I16" s="85"/>
      <c r="J16" s="14"/>
    </row>
    <row r="17" spans="1:10" ht="30" x14ac:dyDescent="0.2">
      <c r="A17" s="27"/>
      <c r="B17" s="24" t="s">
        <v>19</v>
      </c>
      <c r="C17" s="24" t="s">
        <v>385</v>
      </c>
      <c r="D17" s="25" t="s">
        <v>20</v>
      </c>
      <c r="E17" s="145">
        <v>500</v>
      </c>
      <c r="F17" s="114">
        <f>Activity!M35+Activity!M39+Activity!M41+Activity!M42+Activity!M45+Activity!M49+Activity!M57+Activity!M68+Activity!M80+Activity!M85+Activity!M110+Activity!M132+Activity!M138+Activity!M139+Activity!M140+Activity!M141+Activity!M152</f>
        <v>493.91999999999996</v>
      </c>
      <c r="G17" s="116">
        <f t="shared" si="1"/>
        <v>6.0800000000000409</v>
      </c>
      <c r="H17" s="80" t="s">
        <v>786</v>
      </c>
      <c r="I17" s="85">
        <f t="shared" si="2"/>
        <v>0.98783999999999994</v>
      </c>
      <c r="J17" s="14" t="str">
        <f t="shared" si="3"/>
        <v/>
      </c>
    </row>
    <row r="18" spans="1:10" ht="15" x14ac:dyDescent="0.2">
      <c r="A18" s="27"/>
      <c r="B18" s="24" t="s">
        <v>21</v>
      </c>
      <c r="C18" s="24" t="s">
        <v>385</v>
      </c>
      <c r="D18" s="25" t="s">
        <v>99</v>
      </c>
      <c r="E18" s="157">
        <v>38.5</v>
      </c>
      <c r="F18" s="114">
        <f>+Activity!M101</f>
        <v>47</v>
      </c>
      <c r="G18" s="116">
        <f t="shared" si="1"/>
        <v>-8.5</v>
      </c>
      <c r="H18" s="3" t="s">
        <v>849</v>
      </c>
      <c r="I18" s="85">
        <f t="shared" si="2"/>
        <v>1.2207792207792207</v>
      </c>
      <c r="J18" s="14" t="str">
        <f t="shared" si="3"/>
        <v>Check</v>
      </c>
    </row>
    <row r="19" spans="1:10" ht="15" x14ac:dyDescent="0.2">
      <c r="A19" s="27"/>
      <c r="B19" s="24" t="s">
        <v>23</v>
      </c>
      <c r="C19" s="24" t="s">
        <v>385</v>
      </c>
      <c r="D19" s="25" t="s">
        <v>22</v>
      </c>
      <c r="E19" s="157">
        <v>900</v>
      </c>
      <c r="F19" s="114"/>
      <c r="G19" s="116">
        <f t="shared" si="1"/>
        <v>900</v>
      </c>
      <c r="H19" s="80"/>
      <c r="I19" s="85">
        <f t="shared" si="2"/>
        <v>0</v>
      </c>
      <c r="J19" s="14" t="str">
        <f t="shared" si="3"/>
        <v/>
      </c>
    </row>
    <row r="20" spans="1:10" ht="15" x14ac:dyDescent="0.2">
      <c r="A20" s="27"/>
      <c r="B20" s="24" t="s">
        <v>25</v>
      </c>
      <c r="C20" s="24" t="s">
        <v>385</v>
      </c>
      <c r="D20" s="25" t="s">
        <v>24</v>
      </c>
      <c r="E20" s="157">
        <v>499.12500000000006</v>
      </c>
      <c r="F20" s="114">
        <f>Activity!M32+Activity!M64+Activity!M158</f>
        <v>665</v>
      </c>
      <c r="G20" s="116">
        <f t="shared" si="1"/>
        <v>-165.87499999999994</v>
      </c>
      <c r="H20" s="3" t="s">
        <v>802</v>
      </c>
      <c r="I20" s="85">
        <f t="shared" si="2"/>
        <v>1.3323315802654645</v>
      </c>
      <c r="J20" s="14" t="str">
        <f t="shared" si="3"/>
        <v>Check</v>
      </c>
    </row>
    <row r="21" spans="1:10" ht="15" x14ac:dyDescent="0.2">
      <c r="A21" s="27"/>
      <c r="B21" s="24" t="s">
        <v>27</v>
      </c>
      <c r="C21" s="24" t="s">
        <v>385</v>
      </c>
      <c r="D21" s="25" t="s">
        <v>26</v>
      </c>
      <c r="E21" s="157">
        <v>75</v>
      </c>
      <c r="F21" s="114">
        <f>Activity!M28+Activity!M40+Activity!M53+Activity!M62+Activity!M76+Activity!M95+Activity!M119+Activity!M135+Activity!M161</f>
        <v>38.25</v>
      </c>
      <c r="G21" s="116">
        <f t="shared" si="1"/>
        <v>36.75</v>
      </c>
      <c r="I21" s="85">
        <f t="shared" si="2"/>
        <v>0.51</v>
      </c>
      <c r="J21" s="14" t="str">
        <f t="shared" si="3"/>
        <v/>
      </c>
    </row>
    <row r="22" spans="1:10" ht="15" x14ac:dyDescent="0.2">
      <c r="A22" s="23"/>
      <c r="B22" s="24" t="s">
        <v>163</v>
      </c>
      <c r="C22" s="24" t="s">
        <v>385</v>
      </c>
      <c r="D22" s="25" t="s">
        <v>28</v>
      </c>
      <c r="E22" s="157">
        <v>250</v>
      </c>
      <c r="F22" s="114">
        <f>+Activity!M87</f>
        <v>15</v>
      </c>
      <c r="G22" s="116">
        <f t="shared" si="1"/>
        <v>235</v>
      </c>
      <c r="I22" s="85">
        <f t="shared" si="2"/>
        <v>0.06</v>
      </c>
      <c r="J22" s="14" t="str">
        <f t="shared" si="3"/>
        <v/>
      </c>
    </row>
    <row r="23" spans="1:10" ht="15" x14ac:dyDescent="0.2">
      <c r="A23" s="23" t="s">
        <v>46</v>
      </c>
      <c r="B23" s="24" t="s">
        <v>47</v>
      </c>
      <c r="C23" s="24" t="s">
        <v>385</v>
      </c>
      <c r="D23" s="25" t="s">
        <v>409</v>
      </c>
      <c r="E23" s="145">
        <v>400</v>
      </c>
      <c r="F23" s="114">
        <f>+Activity!M91</f>
        <v>400</v>
      </c>
      <c r="G23" s="116">
        <f t="shared" si="1"/>
        <v>0</v>
      </c>
      <c r="H23" s="80"/>
      <c r="I23" s="85">
        <f t="shared" si="2"/>
        <v>1</v>
      </c>
      <c r="J23" s="14" t="str">
        <f t="shared" si="3"/>
        <v/>
      </c>
    </row>
    <row r="24" spans="1:10" ht="30" x14ac:dyDescent="0.2">
      <c r="A24" s="27"/>
      <c r="B24" s="24" t="s">
        <v>48</v>
      </c>
      <c r="C24" s="24" t="s">
        <v>385</v>
      </c>
      <c r="D24" s="25" t="s">
        <v>763</v>
      </c>
      <c r="E24" s="145">
        <v>372.26200000000006</v>
      </c>
      <c r="F24" s="114">
        <f>Activity!M29+Activity!M63+Activity!M65+Activity!M105+Activity!M121</f>
        <v>1276.01</v>
      </c>
      <c r="G24" s="116">
        <f t="shared" si="1"/>
        <v>-903.74799999999993</v>
      </c>
      <c r="H24" s="3" t="s">
        <v>690</v>
      </c>
      <c r="I24" s="85">
        <f t="shared" si="2"/>
        <v>3.4277202615362294</v>
      </c>
      <c r="J24" s="14" t="str">
        <f t="shared" si="3"/>
        <v>Check</v>
      </c>
    </row>
    <row r="25" spans="1:10" s="14" customFormat="1" ht="15" x14ac:dyDescent="0.2">
      <c r="A25" s="28" t="s">
        <v>37</v>
      </c>
      <c r="B25" s="29" t="s">
        <v>38</v>
      </c>
      <c r="C25" s="29" t="s">
        <v>385</v>
      </c>
      <c r="D25" s="61" t="s">
        <v>100</v>
      </c>
      <c r="E25" s="176">
        <v>583</v>
      </c>
      <c r="F25" s="114">
        <f>+Activity!M75+Activity!M106+Activity!M123++Activity!M143</f>
        <v>905</v>
      </c>
      <c r="G25" s="116">
        <f t="shared" si="1"/>
        <v>-322</v>
      </c>
      <c r="H25" s="14" t="s">
        <v>691</v>
      </c>
      <c r="I25" s="85">
        <f t="shared" si="2"/>
        <v>1.5523156089193826</v>
      </c>
      <c r="J25" s="14" t="str">
        <f t="shared" si="3"/>
        <v>Check</v>
      </c>
    </row>
    <row r="26" spans="1:10" ht="15" x14ac:dyDescent="0.2">
      <c r="A26" s="26"/>
      <c r="B26" s="29" t="s">
        <v>39</v>
      </c>
      <c r="C26" s="29" t="s">
        <v>385</v>
      </c>
      <c r="D26" s="13" t="s">
        <v>40</v>
      </c>
      <c r="E26" s="176">
        <v>0</v>
      </c>
      <c r="F26" s="114"/>
      <c r="G26" s="116">
        <f t="shared" si="1"/>
        <v>0</v>
      </c>
      <c r="I26" s="85" t="str">
        <f t="shared" si="2"/>
        <v/>
      </c>
      <c r="J26" s="14" t="str">
        <f t="shared" si="3"/>
        <v/>
      </c>
    </row>
    <row r="27" spans="1:10" ht="30" x14ac:dyDescent="0.2">
      <c r="A27" s="32"/>
      <c r="B27" s="11" t="s">
        <v>98</v>
      </c>
      <c r="C27" s="29" t="s">
        <v>385</v>
      </c>
      <c r="D27" s="25" t="s">
        <v>233</v>
      </c>
      <c r="E27" s="145">
        <v>1332.76</v>
      </c>
      <c r="F27" s="114">
        <f>+Activity!M73+Activity!M83+Activity!M84+Activity!M86+Activity!M122</f>
        <v>453.71000000000004</v>
      </c>
      <c r="G27" s="116">
        <f t="shared" si="1"/>
        <v>879.05</v>
      </c>
      <c r="H27" s="3" t="s">
        <v>761</v>
      </c>
      <c r="I27" s="85">
        <f t="shared" si="2"/>
        <v>0.34042888442030078</v>
      </c>
      <c r="J27" s="14" t="str">
        <f t="shared" si="3"/>
        <v/>
      </c>
    </row>
    <row r="28" spans="1:10" ht="15" x14ac:dyDescent="0.2">
      <c r="A28" s="32"/>
      <c r="B28" s="11" t="s">
        <v>146</v>
      </c>
      <c r="C28" s="29" t="s">
        <v>385</v>
      </c>
      <c r="D28" s="25" t="s">
        <v>152</v>
      </c>
      <c r="E28" s="145">
        <v>0</v>
      </c>
      <c r="F28" s="114"/>
      <c r="G28" s="116">
        <f t="shared" si="1"/>
        <v>0</v>
      </c>
      <c r="I28" s="85" t="str">
        <f t="shared" si="2"/>
        <v/>
      </c>
      <c r="J28" s="14" t="str">
        <f t="shared" si="3"/>
        <v/>
      </c>
    </row>
    <row r="29" spans="1:10" ht="15" x14ac:dyDescent="0.2">
      <c r="A29" s="32"/>
      <c r="B29" s="11" t="s">
        <v>150</v>
      </c>
      <c r="C29" s="29" t="s">
        <v>385</v>
      </c>
      <c r="D29" s="25" t="s">
        <v>164</v>
      </c>
      <c r="E29" s="145">
        <v>384.79100000000005</v>
      </c>
      <c r="F29" s="114">
        <f>+Activity!M142+Activity!M144</f>
        <v>313.77</v>
      </c>
      <c r="G29" s="116">
        <f t="shared" si="1"/>
        <v>71.021000000000072</v>
      </c>
      <c r="I29" s="85">
        <f t="shared" si="2"/>
        <v>0.81542967481048134</v>
      </c>
      <c r="J29" s="14" t="str">
        <f t="shared" si="3"/>
        <v/>
      </c>
    </row>
    <row r="30" spans="1:10" s="30" customFormat="1" ht="30" x14ac:dyDescent="0.2">
      <c r="A30" s="32"/>
      <c r="B30" s="11" t="s">
        <v>156</v>
      </c>
      <c r="C30" s="29" t="s">
        <v>385</v>
      </c>
      <c r="D30" s="25" t="s">
        <v>161</v>
      </c>
      <c r="E30" s="145">
        <v>990.00000000000011</v>
      </c>
      <c r="F30" s="178">
        <f>+Activity!M52+Activity!M127+Activity!M128+Activity!M129</f>
        <v>345.82</v>
      </c>
      <c r="G30" s="116">
        <f t="shared" si="1"/>
        <v>644.18000000000006</v>
      </c>
      <c r="H30" s="80" t="s">
        <v>762</v>
      </c>
      <c r="I30" s="85">
        <f>IFERROR(F31/E30,"")</f>
        <v>0.12386868686868685</v>
      </c>
      <c r="J30" s="14" t="str">
        <f t="shared" si="3"/>
        <v/>
      </c>
    </row>
    <row r="31" spans="1:10" s="30" customFormat="1" ht="15" x14ac:dyDescent="0.2">
      <c r="A31" s="32"/>
      <c r="B31" s="11" t="s">
        <v>477</v>
      </c>
      <c r="C31" s="29"/>
      <c r="D31" s="25" t="s">
        <v>478</v>
      </c>
      <c r="E31" s="145">
        <v>660</v>
      </c>
      <c r="F31" s="114">
        <f>+Activity!M88+Activity!M89+Activity!M90+Activity!M160</f>
        <v>122.63</v>
      </c>
      <c r="G31" s="116">
        <f t="shared" si="1"/>
        <v>537.37</v>
      </c>
      <c r="H31" s="80"/>
      <c r="I31" s="85"/>
      <c r="J31" s="14"/>
    </row>
    <row r="32" spans="1:10" s="30" customFormat="1" ht="15" x14ac:dyDescent="0.2">
      <c r="A32" s="23" t="s">
        <v>49</v>
      </c>
      <c r="B32" s="11" t="s">
        <v>50</v>
      </c>
      <c r="C32" s="24" t="s">
        <v>385</v>
      </c>
      <c r="D32" s="25" t="s">
        <v>131</v>
      </c>
      <c r="E32" s="145">
        <v>6000</v>
      </c>
      <c r="F32" s="114">
        <f>Activity!M25+Activity!M38+Activity!M48+Activity!M60+Activity!M93+Activity!M116+Activity!M137</f>
        <v>4390.8</v>
      </c>
      <c r="G32" s="116">
        <f t="shared" si="1"/>
        <v>1609.1999999999998</v>
      </c>
      <c r="H32" s="3"/>
      <c r="I32" s="85">
        <f t="shared" si="2"/>
        <v>0.73180000000000001</v>
      </c>
      <c r="J32" s="14" t="str">
        <f t="shared" si="3"/>
        <v/>
      </c>
    </row>
    <row r="33" spans="1:10" s="30" customFormat="1" ht="15" x14ac:dyDescent="0.2">
      <c r="A33" s="26" t="s">
        <v>144</v>
      </c>
      <c r="B33" s="11" t="s">
        <v>51</v>
      </c>
      <c r="C33" s="24" t="s">
        <v>385</v>
      </c>
      <c r="D33" s="25" t="s">
        <v>52</v>
      </c>
      <c r="E33" s="145">
        <v>363.00000000000006</v>
      </c>
      <c r="F33" s="114">
        <f>Activity!M162</f>
        <v>356</v>
      </c>
      <c r="G33" s="116">
        <f t="shared" si="1"/>
        <v>7.0000000000000568</v>
      </c>
      <c r="H33" s="3"/>
      <c r="I33" s="85">
        <f t="shared" si="2"/>
        <v>0.98071625344352598</v>
      </c>
      <c r="J33" s="14" t="str">
        <f t="shared" si="3"/>
        <v/>
      </c>
    </row>
    <row r="34" spans="1:10" ht="15" x14ac:dyDescent="0.2">
      <c r="A34" s="31" t="s">
        <v>145</v>
      </c>
      <c r="B34" s="11" t="s">
        <v>53</v>
      </c>
      <c r="C34" s="24" t="s">
        <v>385</v>
      </c>
      <c r="D34" s="25" t="s">
        <v>54</v>
      </c>
      <c r="E34" s="145">
        <v>363.00000000000006</v>
      </c>
      <c r="F34" s="114"/>
      <c r="G34" s="116">
        <f t="shared" si="1"/>
        <v>363.00000000000006</v>
      </c>
      <c r="H34" s="80"/>
      <c r="I34" s="85">
        <f t="shared" si="2"/>
        <v>0</v>
      </c>
      <c r="J34" s="14" t="str">
        <f t="shared" si="3"/>
        <v/>
      </c>
    </row>
    <row r="35" spans="1:10" s="14" customFormat="1" ht="15" x14ac:dyDescent="0.2">
      <c r="A35" s="26"/>
      <c r="B35" s="11" t="s">
        <v>55</v>
      </c>
      <c r="C35" s="24" t="s">
        <v>385</v>
      </c>
      <c r="D35" s="25" t="s">
        <v>128</v>
      </c>
      <c r="E35" s="145">
        <v>0</v>
      </c>
      <c r="F35" s="114"/>
      <c r="G35" s="116">
        <f t="shared" si="1"/>
        <v>0</v>
      </c>
      <c r="H35" s="3"/>
      <c r="I35" s="85" t="str">
        <f t="shared" si="2"/>
        <v/>
      </c>
      <c r="J35" s="14" t="str">
        <f t="shared" si="3"/>
        <v/>
      </c>
    </row>
    <row r="36" spans="1:10" ht="15" x14ac:dyDescent="0.2">
      <c r="A36" s="31"/>
      <c r="B36" s="11" t="s">
        <v>56</v>
      </c>
      <c r="C36" s="24" t="s">
        <v>385</v>
      </c>
      <c r="D36" s="25" t="s">
        <v>475</v>
      </c>
      <c r="E36" s="145">
        <v>1650.0000000000002</v>
      </c>
      <c r="F36" s="114">
        <f>Activity!M147+Activity!M148</f>
        <v>2150</v>
      </c>
      <c r="G36" s="116">
        <f t="shared" si="1"/>
        <v>-499.99999999999977</v>
      </c>
      <c r="H36" s="123" t="s">
        <v>787</v>
      </c>
      <c r="I36" s="85">
        <f t="shared" si="2"/>
        <v>1.3030303030303028</v>
      </c>
      <c r="J36" s="14" t="str">
        <f t="shared" si="3"/>
        <v>Check</v>
      </c>
    </row>
    <row r="37" spans="1:10" ht="15" x14ac:dyDescent="0.2">
      <c r="A37" s="27"/>
      <c r="B37" s="11" t="s">
        <v>58</v>
      </c>
      <c r="C37" s="24" t="s">
        <v>385</v>
      </c>
      <c r="D37" s="25" t="s">
        <v>57</v>
      </c>
      <c r="E37" s="145">
        <v>200</v>
      </c>
      <c r="F37" s="114"/>
      <c r="G37" s="116">
        <f t="shared" si="1"/>
        <v>200</v>
      </c>
      <c r="I37" s="85">
        <f t="shared" si="2"/>
        <v>0</v>
      </c>
      <c r="J37" s="14" t="str">
        <f t="shared" si="3"/>
        <v/>
      </c>
    </row>
    <row r="38" spans="1:10" ht="15" x14ac:dyDescent="0.2">
      <c r="A38" s="26"/>
      <c r="B38" s="11" t="s">
        <v>60</v>
      </c>
      <c r="C38" s="24" t="s">
        <v>385</v>
      </c>
      <c r="D38" s="25" t="s">
        <v>59</v>
      </c>
      <c r="E38" s="145">
        <v>484.00000000000011</v>
      </c>
      <c r="F38" s="114"/>
      <c r="G38" s="116">
        <f t="shared" si="1"/>
        <v>484.00000000000011</v>
      </c>
      <c r="H38" s="14"/>
      <c r="I38" s="85">
        <f t="shared" si="2"/>
        <v>0</v>
      </c>
      <c r="J38" s="14" t="str">
        <f t="shared" si="3"/>
        <v/>
      </c>
    </row>
    <row r="39" spans="1:10" ht="30" x14ac:dyDescent="0.2">
      <c r="A39" s="32"/>
      <c r="B39" s="11" t="s">
        <v>61</v>
      </c>
      <c r="C39" s="24" t="s">
        <v>385</v>
      </c>
      <c r="D39" s="25" t="s">
        <v>476</v>
      </c>
      <c r="E39" s="145">
        <v>250</v>
      </c>
      <c r="F39" s="114">
        <f>+Activity!M51+Activity!M61+Activity!M71+Activity!M72+Activity!M74+Activity!M157+Activity!M159</f>
        <v>275.43999999999994</v>
      </c>
      <c r="G39" s="116">
        <f t="shared" si="1"/>
        <v>-25.439999999999941</v>
      </c>
      <c r="H39" s="80" t="s">
        <v>850</v>
      </c>
      <c r="I39" s="85">
        <f t="shared" si="2"/>
        <v>1.1017599999999999</v>
      </c>
      <c r="J39" s="14" t="str">
        <f t="shared" si="3"/>
        <v>Check</v>
      </c>
    </row>
    <row r="40" spans="1:10" ht="15" x14ac:dyDescent="0.2">
      <c r="A40" s="32"/>
      <c r="B40" s="11" t="s">
        <v>147</v>
      </c>
      <c r="C40" s="29" t="s">
        <v>385</v>
      </c>
      <c r="D40" s="25" t="s">
        <v>149</v>
      </c>
      <c r="E40" s="145"/>
      <c r="F40" s="114"/>
      <c r="G40" s="116">
        <f t="shared" si="1"/>
        <v>0</v>
      </c>
      <c r="H40" s="80"/>
      <c r="I40" s="85" t="str">
        <f t="shared" si="2"/>
        <v/>
      </c>
      <c r="J40" s="14" t="str">
        <f t="shared" si="3"/>
        <v/>
      </c>
    </row>
    <row r="41" spans="1:10" s="14" customFormat="1" ht="15" x14ac:dyDescent="0.2">
      <c r="A41" s="32"/>
      <c r="B41" s="11" t="s">
        <v>148</v>
      </c>
      <c r="C41" s="24" t="s">
        <v>385</v>
      </c>
      <c r="D41" s="25" t="s">
        <v>165</v>
      </c>
      <c r="E41" s="145">
        <v>6000</v>
      </c>
      <c r="F41" s="140">
        <f>+Activity!M50+Activity!M54+Activity!M94+Activity!M156</f>
        <v>2016.58</v>
      </c>
      <c r="G41" s="116">
        <f t="shared" si="1"/>
        <v>3983.42</v>
      </c>
      <c r="H41" s="80" t="s">
        <v>661</v>
      </c>
      <c r="I41" s="85">
        <f t="shared" si="2"/>
        <v>0.33609666666666665</v>
      </c>
      <c r="J41" s="14" t="str">
        <f t="shared" si="3"/>
        <v/>
      </c>
    </row>
    <row r="42" spans="1:10" ht="15" x14ac:dyDescent="0.2">
      <c r="A42" s="28" t="s">
        <v>35</v>
      </c>
      <c r="B42" s="29" t="s">
        <v>36</v>
      </c>
      <c r="C42" s="29"/>
      <c r="D42" s="13" t="s">
        <v>35</v>
      </c>
      <c r="E42" s="176">
        <v>0</v>
      </c>
      <c r="F42" s="114"/>
      <c r="G42" s="116">
        <f t="shared" si="1"/>
        <v>0</v>
      </c>
      <c r="I42" s="85" t="str">
        <f t="shared" si="2"/>
        <v/>
      </c>
      <c r="J42" s="14" t="str">
        <f t="shared" si="3"/>
        <v/>
      </c>
    </row>
    <row r="43" spans="1:10" ht="15" x14ac:dyDescent="0.2">
      <c r="A43" s="23" t="s">
        <v>41</v>
      </c>
      <c r="B43" s="24" t="s">
        <v>42</v>
      </c>
      <c r="C43" s="24" t="s">
        <v>386</v>
      </c>
      <c r="D43" s="25" t="s">
        <v>43</v>
      </c>
      <c r="E43" s="145">
        <v>0</v>
      </c>
      <c r="F43" s="114"/>
      <c r="G43" s="116">
        <f t="shared" si="1"/>
        <v>0</v>
      </c>
      <c r="I43" s="85" t="str">
        <f t="shared" si="2"/>
        <v/>
      </c>
      <c r="J43" s="14" t="str">
        <f t="shared" si="3"/>
        <v/>
      </c>
    </row>
    <row r="44" spans="1:10" ht="15" x14ac:dyDescent="0.2">
      <c r="A44" s="27"/>
      <c r="B44" s="24" t="s">
        <v>44</v>
      </c>
      <c r="C44" s="29" t="s">
        <v>385</v>
      </c>
      <c r="D44" s="25" t="s">
        <v>45</v>
      </c>
      <c r="E44" s="145">
        <v>607.5</v>
      </c>
      <c r="F44" s="140">
        <f>Activity!M163</f>
        <v>425.25</v>
      </c>
      <c r="G44" s="116">
        <f t="shared" si="1"/>
        <v>182.25</v>
      </c>
      <c r="H44" s="30"/>
      <c r="I44" s="85">
        <f t="shared" si="2"/>
        <v>0.7</v>
      </c>
      <c r="J44" s="14" t="str">
        <f t="shared" si="3"/>
        <v/>
      </c>
    </row>
    <row r="45" spans="1:10" ht="15" x14ac:dyDescent="0.2">
      <c r="A45" s="23" t="s">
        <v>29</v>
      </c>
      <c r="B45" s="24" t="s">
        <v>30</v>
      </c>
      <c r="C45" s="24" t="s">
        <v>385</v>
      </c>
      <c r="D45" s="25" t="s">
        <v>94</v>
      </c>
      <c r="E45" s="145">
        <v>363.00000000000006</v>
      </c>
      <c r="F45" s="114">
        <f>Activity!M26</f>
        <v>314.7</v>
      </c>
      <c r="G45" s="116">
        <f t="shared" si="1"/>
        <v>48.300000000000068</v>
      </c>
      <c r="I45" s="85">
        <f t="shared" si="2"/>
        <v>0.86694214876033038</v>
      </c>
      <c r="J45" s="14" t="str">
        <f t="shared" si="3"/>
        <v/>
      </c>
    </row>
    <row r="46" spans="1:10" ht="15" x14ac:dyDescent="0.2">
      <c r="A46" s="27"/>
      <c r="B46" s="24" t="s">
        <v>32</v>
      </c>
      <c r="C46" s="24" t="s">
        <v>385</v>
      </c>
      <c r="D46" s="25" t="s">
        <v>33</v>
      </c>
      <c r="E46" s="145">
        <v>137.5</v>
      </c>
      <c r="F46" s="114">
        <f>Activity!M27</f>
        <v>150</v>
      </c>
      <c r="G46" s="116">
        <f t="shared" si="1"/>
        <v>-12.5</v>
      </c>
      <c r="I46" s="85">
        <f t="shared" si="2"/>
        <v>1.0909090909090908</v>
      </c>
      <c r="J46" s="14" t="str">
        <f t="shared" si="3"/>
        <v>Check</v>
      </c>
    </row>
    <row r="47" spans="1:10" ht="15" x14ac:dyDescent="0.2">
      <c r="A47" s="27"/>
      <c r="B47" s="24" t="s">
        <v>34</v>
      </c>
      <c r="C47" s="24" t="s">
        <v>385</v>
      </c>
      <c r="D47" s="25" t="s">
        <v>299</v>
      </c>
      <c r="E47" s="145">
        <v>500</v>
      </c>
      <c r="F47" s="114">
        <f>Activity!M31+Activity!I113</f>
        <v>250</v>
      </c>
      <c r="G47" s="116">
        <f t="shared" si="1"/>
        <v>250</v>
      </c>
      <c r="H47" s="80" t="s">
        <v>765</v>
      </c>
      <c r="I47" s="85">
        <f t="shared" si="2"/>
        <v>0.5</v>
      </c>
      <c r="J47" s="14" t="str">
        <f t="shared" si="3"/>
        <v/>
      </c>
    </row>
    <row r="48" spans="1:10" x14ac:dyDescent="0.2">
      <c r="A48" s="32"/>
      <c r="B48" s="11"/>
      <c r="C48" s="11"/>
      <c r="D48" s="25"/>
      <c r="F48" s="114"/>
      <c r="G48" s="116"/>
      <c r="I48" s="85"/>
      <c r="J48" s="14" t="str">
        <f t="shared" si="3"/>
        <v/>
      </c>
    </row>
    <row r="49" spans="1:10" s="35" customFormat="1" ht="15" x14ac:dyDescent="0.2">
      <c r="A49" s="33"/>
      <c r="B49" s="34"/>
      <c r="C49" s="34"/>
      <c r="D49" s="34" t="s">
        <v>10</v>
      </c>
      <c r="E49" s="144">
        <f>SUM(E13:E47)</f>
        <v>30908.5412</v>
      </c>
      <c r="F49" s="144">
        <f t="shared" ref="F49:G49" si="4">SUM(F13:F48)</f>
        <v>19751.77</v>
      </c>
      <c r="G49" s="144">
        <f t="shared" si="4"/>
        <v>11156.771199999999</v>
      </c>
      <c r="I49" s="85">
        <f t="shared" ref="I49:I58" si="5">IFERROR(F49/E49,"")</f>
        <v>0.63903921806571706</v>
      </c>
      <c r="J49" s="14" t="str">
        <f t="shared" si="3"/>
        <v/>
      </c>
    </row>
    <row r="50" spans="1:10" x14ac:dyDescent="0.2">
      <c r="A50" s="36"/>
      <c r="B50" s="25"/>
      <c r="C50" s="25"/>
      <c r="D50" s="25"/>
      <c r="E50" s="145"/>
      <c r="F50" s="146"/>
      <c r="G50" s="147"/>
      <c r="I50" s="85" t="str">
        <f t="shared" si="5"/>
        <v/>
      </c>
      <c r="J50" s="14" t="str">
        <f t="shared" si="3"/>
        <v/>
      </c>
    </row>
    <row r="51" spans="1:10" s="39" customFormat="1" ht="18" x14ac:dyDescent="0.2">
      <c r="A51" s="37" t="s">
        <v>62</v>
      </c>
      <c r="B51" s="38"/>
      <c r="C51" s="38"/>
      <c r="D51" s="93"/>
      <c r="E51" s="148"/>
      <c r="F51" s="149"/>
      <c r="G51" s="150"/>
      <c r="I51" s="85" t="str">
        <f t="shared" si="5"/>
        <v/>
      </c>
      <c r="J51" s="14" t="str">
        <f t="shared" si="3"/>
        <v/>
      </c>
    </row>
    <row r="52" spans="1:10" ht="45" x14ac:dyDescent="0.2">
      <c r="A52" s="40" t="s">
        <v>63</v>
      </c>
      <c r="B52" s="25" t="s">
        <v>64</v>
      </c>
      <c r="C52" s="25"/>
      <c r="D52" s="25" t="s">
        <v>65</v>
      </c>
      <c r="E52" s="145">
        <v>0</v>
      </c>
      <c r="F52" s="152"/>
      <c r="G52" s="153">
        <f>E52-F52</f>
        <v>0</v>
      </c>
      <c r="I52" s="85" t="str">
        <f t="shared" si="5"/>
        <v/>
      </c>
      <c r="J52" s="14" t="str">
        <f t="shared" si="3"/>
        <v/>
      </c>
    </row>
    <row r="53" spans="1:10" ht="30" x14ac:dyDescent="0.2">
      <c r="A53" s="32"/>
      <c r="B53" s="25" t="s">
        <v>66</v>
      </c>
      <c r="C53" s="25"/>
      <c r="D53" s="25" t="s">
        <v>173</v>
      </c>
      <c r="E53" s="145">
        <v>0</v>
      </c>
      <c r="F53" s="152"/>
      <c r="G53" s="153">
        <f>E53-F53</f>
        <v>0</v>
      </c>
      <c r="H53" s="80"/>
      <c r="I53" s="85" t="str">
        <f t="shared" si="5"/>
        <v/>
      </c>
      <c r="J53" s="14" t="str">
        <f t="shared" si="3"/>
        <v/>
      </c>
    </row>
    <row r="54" spans="1:10" ht="15" x14ac:dyDescent="0.2">
      <c r="A54" s="32"/>
      <c r="B54" s="25" t="s">
        <v>67</v>
      </c>
      <c r="C54" s="25"/>
      <c r="D54" s="25" t="s">
        <v>300</v>
      </c>
      <c r="E54" s="145">
        <v>0</v>
      </c>
      <c r="F54" s="152"/>
      <c r="G54" s="153">
        <f>E54-F54</f>
        <v>0</v>
      </c>
      <c r="I54" s="85" t="str">
        <f t="shared" si="5"/>
        <v/>
      </c>
      <c r="J54" s="14" t="str">
        <f t="shared" si="3"/>
        <v/>
      </c>
    </row>
    <row r="55" spans="1:10" s="35" customFormat="1" ht="15" x14ac:dyDescent="0.2">
      <c r="A55" s="41"/>
      <c r="B55" s="42"/>
      <c r="C55" s="42"/>
      <c r="D55" s="34" t="s">
        <v>10</v>
      </c>
      <c r="E55" s="154">
        <f>SUM(E52:E54)</f>
        <v>0</v>
      </c>
      <c r="F55" s="155">
        <f>SUM(F52:F54)</f>
        <v>0</v>
      </c>
      <c r="G55" s="156">
        <f>E55-F55</f>
        <v>0</v>
      </c>
      <c r="H55" s="3"/>
      <c r="I55" s="85" t="str">
        <f t="shared" si="5"/>
        <v/>
      </c>
      <c r="J55" s="14" t="str">
        <f t="shared" si="3"/>
        <v/>
      </c>
    </row>
    <row r="56" spans="1:10" x14ac:dyDescent="0.2">
      <c r="A56" s="32"/>
      <c r="B56" s="24"/>
      <c r="C56" s="24"/>
      <c r="D56" s="25"/>
      <c r="E56" s="157"/>
      <c r="F56" s="146"/>
      <c r="G56" s="147"/>
      <c r="I56" s="85" t="str">
        <f t="shared" si="5"/>
        <v/>
      </c>
      <c r="J56" s="14" t="str">
        <f t="shared" si="3"/>
        <v/>
      </c>
    </row>
    <row r="57" spans="1:10" x14ac:dyDescent="0.2">
      <c r="A57" s="43" t="s">
        <v>68</v>
      </c>
      <c r="B57" s="24"/>
      <c r="C57" s="24"/>
      <c r="D57" s="25"/>
      <c r="E57" s="158">
        <v>2685</v>
      </c>
      <c r="F57" s="146"/>
      <c r="G57" s="147"/>
      <c r="I57" s="85">
        <f t="shared" si="5"/>
        <v>0</v>
      </c>
      <c r="J57" s="14" t="str">
        <f t="shared" si="3"/>
        <v/>
      </c>
    </row>
    <row r="58" spans="1:10" x14ac:dyDescent="0.2">
      <c r="A58" s="31"/>
      <c r="B58" s="24"/>
      <c r="C58" s="24"/>
      <c r="D58" s="25"/>
      <c r="E58" s="157"/>
      <c r="F58" s="146"/>
      <c r="G58" s="147"/>
      <c r="I58" s="85" t="str">
        <f t="shared" si="5"/>
        <v/>
      </c>
      <c r="J58" s="14" t="str">
        <f t="shared" si="3"/>
        <v/>
      </c>
    </row>
    <row r="59" spans="1:10" ht="16" x14ac:dyDescent="0.2">
      <c r="A59" s="44" t="s">
        <v>69</v>
      </c>
      <c r="B59" s="45"/>
      <c r="C59" s="134"/>
      <c r="D59" s="120"/>
      <c r="E59" s="264">
        <f>E10</f>
        <v>26850</v>
      </c>
      <c r="F59" s="159">
        <f>F10</f>
        <v>28165.88</v>
      </c>
      <c r="G59" s="147"/>
      <c r="I59" s="85"/>
      <c r="J59" s="14" t="str">
        <f t="shared" si="3"/>
        <v/>
      </c>
    </row>
    <row r="60" spans="1:10" ht="102" x14ac:dyDescent="0.2">
      <c r="A60" s="46" t="s">
        <v>70</v>
      </c>
      <c r="B60" s="45"/>
      <c r="C60" s="134"/>
      <c r="D60" s="120"/>
      <c r="E60" s="160">
        <f>E49+E55+E57</f>
        <v>33593.5412</v>
      </c>
      <c r="F60" s="160">
        <f>F49+F55+F57</f>
        <v>19751.77</v>
      </c>
      <c r="G60" s="161">
        <f>E60-F60</f>
        <v>13841.771199999999</v>
      </c>
      <c r="I60" s="85">
        <f>IFERROR(F60/E60,"")</f>
        <v>0.58796331956810799</v>
      </c>
      <c r="J60" s="14" t="str">
        <f t="shared" si="3"/>
        <v/>
      </c>
    </row>
    <row r="61" spans="1:10" s="49" customFormat="1" ht="39" thickBot="1" x14ac:dyDescent="0.25">
      <c r="A61" s="47" t="s">
        <v>71</v>
      </c>
      <c r="B61" s="48"/>
      <c r="C61" s="135"/>
      <c r="D61" s="121"/>
      <c r="E61" s="162">
        <f>E59-E60</f>
        <v>-6743.5411999999997</v>
      </c>
      <c r="F61" s="75"/>
      <c r="G61" s="102"/>
      <c r="I61" s="86"/>
    </row>
    <row r="62" spans="1:10" ht="15" thickBot="1" x14ac:dyDescent="0.25">
      <c r="D62" s="51"/>
      <c r="E62" s="51"/>
      <c r="F62" s="126"/>
      <c r="G62" s="127"/>
    </row>
    <row r="63" spans="1:10" s="54" customFormat="1" ht="16" thickBot="1" x14ac:dyDescent="0.25">
      <c r="A63" s="52" t="s">
        <v>72</v>
      </c>
      <c r="B63" s="53"/>
      <c r="C63" s="128"/>
      <c r="D63" s="128"/>
      <c r="E63" s="129">
        <f>E5/455.9</f>
        <v>58.126782189076557</v>
      </c>
      <c r="F63" s="124"/>
      <c r="G63" s="125"/>
      <c r="I63" s="87"/>
    </row>
    <row r="64" spans="1:10" s="54" customFormat="1" ht="15" x14ac:dyDescent="0.2">
      <c r="D64" s="94"/>
      <c r="F64" s="57"/>
      <c r="G64" s="103"/>
      <c r="I64" s="87"/>
    </row>
    <row r="65" spans="1:9" s="54" customFormat="1" ht="15" x14ac:dyDescent="0.2">
      <c r="A65" s="54" t="s">
        <v>73</v>
      </c>
      <c r="B65" s="59"/>
      <c r="C65" s="59"/>
      <c r="D65" s="94"/>
      <c r="E65" s="54" t="s">
        <v>74</v>
      </c>
      <c r="F65" s="57">
        <f>Activity!P23</f>
        <v>15187.070000000003</v>
      </c>
      <c r="G65" s="103"/>
      <c r="I65" s="87"/>
    </row>
    <row r="66" spans="1:9" s="54" customFormat="1" ht="15" x14ac:dyDescent="0.2">
      <c r="B66" s="59"/>
      <c r="C66" s="59"/>
      <c r="D66" s="94"/>
      <c r="E66" s="54" t="s">
        <v>103</v>
      </c>
      <c r="F66" s="122">
        <f>-Activity!L173</f>
        <v>-2154.6099999999997</v>
      </c>
      <c r="G66" s="103"/>
      <c r="H66" s="141"/>
      <c r="I66" s="87"/>
    </row>
    <row r="67" spans="1:9" s="54" customFormat="1" ht="15" x14ac:dyDescent="0.2">
      <c r="B67" s="59"/>
      <c r="C67" s="59"/>
      <c r="D67" s="94"/>
      <c r="F67" s="57"/>
      <c r="G67" s="103"/>
      <c r="H67" s="65"/>
      <c r="I67" s="88"/>
    </row>
    <row r="68" spans="1:9" s="54" customFormat="1" ht="15" x14ac:dyDescent="0.2">
      <c r="B68" s="59"/>
      <c r="C68" s="59"/>
      <c r="D68" s="94"/>
      <c r="E68" s="54" t="s">
        <v>104</v>
      </c>
      <c r="F68" s="76">
        <f>F65+F10-F49-F55+F66</f>
        <v>21446.570000000003</v>
      </c>
      <c r="G68" s="103" t="s">
        <v>75</v>
      </c>
      <c r="H68" s="143" t="s">
        <v>847</v>
      </c>
      <c r="I68" s="88"/>
    </row>
    <row r="69" spans="1:9" s="54" customFormat="1" ht="15" x14ac:dyDescent="0.2">
      <c r="B69" s="59"/>
      <c r="C69" s="59"/>
      <c r="D69" s="94"/>
      <c r="F69" s="172"/>
      <c r="G69" s="103"/>
      <c r="I69" s="87"/>
    </row>
    <row r="70" spans="1:9" ht="15" x14ac:dyDescent="0.2">
      <c r="A70" s="60"/>
      <c r="B70" s="59"/>
      <c r="C70" s="59"/>
      <c r="H70" s="141"/>
    </row>
    <row r="71" spans="1:9" ht="15" x14ac:dyDescent="0.2">
      <c r="A71" s="60"/>
      <c r="B71" s="59"/>
      <c r="C71" s="59"/>
      <c r="H71" s="141"/>
    </row>
    <row r="72" spans="1:9" ht="15" x14ac:dyDescent="0.2">
      <c r="H72" s="141"/>
    </row>
    <row r="73" spans="1:9" ht="94" customHeight="1" x14ac:dyDescent="0.2">
      <c r="A73" s="300" t="s">
        <v>633</v>
      </c>
      <c r="B73" s="300"/>
      <c r="C73" s="300"/>
      <c r="D73" s="300"/>
      <c r="E73" s="300"/>
      <c r="F73" s="104"/>
      <c r="H73" s="142"/>
    </row>
  </sheetData>
  <sheetProtection selectLockedCells="1" selectUnlockedCells="1"/>
  <sortState xmlns:xlrd2="http://schemas.microsoft.com/office/spreadsheetml/2017/richdata2" ref="A13:H47">
    <sortCondition ref="B13:B47"/>
  </sortState>
  <mergeCells count="1">
    <mergeCell ref="A73:E73"/>
  </mergeCells>
  <phoneticPr fontId="22" type="noConversion"/>
  <conditionalFormatting sqref="J13:J60">
    <cfRule type="containsText" dxfId="0" priority="1" operator="containsText" text="Check">
      <formula>NOT(ISERROR(SEARCH("Check",J13)))</formula>
    </cfRule>
  </conditionalFormatting>
  <printOptions gridLines="1"/>
  <pageMargins left="0.70000000000000007" right="0.70000000000000007" top="0.75000000000000011" bottom="0.75000000000000011" header="0.30000000000000004" footer="0.30000000000000004"/>
  <pageSetup paperSize="9" scale="73" fitToHeight="0" orientation="landscape" r:id="rId1"/>
  <headerFooter>
    <oddFooter>&amp;L&amp;"Calibri,Regular"&amp;K000000&amp;A&amp;C&amp;"Calibri,Regular"&amp;K000000&amp;D</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1B83-E60C-4092-9F06-F9056C00D500}">
  <dimension ref="A1:Q177"/>
  <sheetViews>
    <sheetView zoomScale="139" zoomScaleNormal="170" workbookViewId="0">
      <pane xSplit="1" ySplit="4" topLeftCell="B140" activePane="bottomRight" state="frozen"/>
      <selection activeCell="F66" sqref="F66"/>
      <selection pane="topRight" activeCell="F66" sqref="F66"/>
      <selection pane="bottomLeft" activeCell="F66" sqref="F66"/>
      <selection pane="bottomRight" activeCell="C181" sqref="C181"/>
    </sheetView>
  </sheetViews>
  <sheetFormatPr baseColWidth="10" defaultColWidth="10.5" defaultRowHeight="13" x14ac:dyDescent="0.2"/>
  <cols>
    <col min="1" max="1" width="13.5" style="213" customWidth="1"/>
    <col min="2" max="2" width="27.6640625" style="214" customWidth="1"/>
    <col min="3" max="3" width="27.83203125" style="283" customWidth="1"/>
    <col min="4" max="4" width="12" style="269" customWidth="1"/>
    <col min="5" max="5" width="5.6640625" style="215" customWidth="1"/>
    <col min="6" max="6" width="19" style="214" customWidth="1"/>
    <col min="7" max="7" width="11.33203125" style="214" customWidth="1"/>
    <col min="8" max="8" width="12" style="216" customWidth="1"/>
    <col min="9" max="9" width="12" style="217" customWidth="1"/>
    <col min="10" max="10" width="1.83203125" style="218" customWidth="1"/>
    <col min="11" max="13" width="11.5" style="219" customWidth="1"/>
    <col min="14" max="14" width="13.33203125" style="220" customWidth="1"/>
    <col min="15" max="15" width="5.1640625" style="218" customWidth="1"/>
    <col min="16" max="16" width="14.83203125" style="218" customWidth="1"/>
    <col min="17" max="17" width="29.6640625" style="218" customWidth="1"/>
    <col min="18" max="18" width="14.6640625" style="214" customWidth="1"/>
    <col min="19" max="20" width="12" style="214" customWidth="1"/>
    <col min="21" max="228" width="10.6640625" style="214" customWidth="1"/>
    <col min="229" max="16384" width="10.5" style="214"/>
  </cols>
  <sheetData>
    <row r="1" spans="1:17" x14ac:dyDescent="0.2">
      <c r="A1" s="213" t="s">
        <v>115</v>
      </c>
      <c r="D1" s="269" t="s">
        <v>76</v>
      </c>
      <c r="G1" s="214" t="s">
        <v>77</v>
      </c>
      <c r="I1" s="217" t="s">
        <v>78</v>
      </c>
    </row>
    <row r="2" spans="1:17" x14ac:dyDescent="0.2">
      <c r="A2" s="213" t="s">
        <v>115</v>
      </c>
    </row>
    <row r="3" spans="1:17" x14ac:dyDescent="0.2">
      <c r="A3" s="213" t="s">
        <v>115</v>
      </c>
      <c r="H3" s="216" t="s">
        <v>79</v>
      </c>
      <c r="N3" s="220" t="s">
        <v>80</v>
      </c>
    </row>
    <row r="4" spans="1:17" s="221" customFormat="1" ht="42" x14ac:dyDescent="0.2">
      <c r="A4" s="213" t="s">
        <v>81</v>
      </c>
      <c r="B4" s="221" t="s">
        <v>101</v>
      </c>
      <c r="C4" s="222" t="s">
        <v>102</v>
      </c>
      <c r="D4" s="269" t="s">
        <v>82</v>
      </c>
      <c r="E4" s="232" t="s">
        <v>105</v>
      </c>
      <c r="F4" s="221" t="s">
        <v>83</v>
      </c>
      <c r="G4" s="221" t="s">
        <v>84</v>
      </c>
      <c r="H4" s="223" t="s">
        <v>85</v>
      </c>
      <c r="I4" s="224" t="s">
        <v>86</v>
      </c>
      <c r="J4" s="225"/>
      <c r="K4" s="226" t="s">
        <v>87</v>
      </c>
      <c r="L4" s="227" t="s">
        <v>88</v>
      </c>
      <c r="M4" s="226" t="s">
        <v>89</v>
      </c>
      <c r="N4" s="228" t="s">
        <v>90</v>
      </c>
      <c r="O4" s="225" t="s">
        <v>91</v>
      </c>
      <c r="P4" s="229" t="s">
        <v>92</v>
      </c>
      <c r="Q4" s="225"/>
    </row>
    <row r="5" spans="1:17" s="221" customFormat="1" x14ac:dyDescent="0.2">
      <c r="A5" s="230" t="s">
        <v>623</v>
      </c>
      <c r="B5" s="231" t="s">
        <v>624</v>
      </c>
      <c r="C5" s="222"/>
      <c r="D5" s="269"/>
      <c r="E5" s="232"/>
      <c r="H5" s="223"/>
      <c r="I5" s="224"/>
      <c r="J5" s="225"/>
      <c r="K5" s="226"/>
      <c r="L5" s="227"/>
      <c r="M5" s="226"/>
      <c r="N5" s="228"/>
      <c r="O5" s="225"/>
      <c r="P5" s="233">
        <v>16548.22</v>
      </c>
      <c r="Q5" s="213" t="s">
        <v>625</v>
      </c>
    </row>
    <row r="6" spans="1:17" s="221" customFormat="1" ht="28" x14ac:dyDescent="0.15">
      <c r="A6" s="234">
        <v>45751</v>
      </c>
      <c r="B6" s="235" t="s">
        <v>119</v>
      </c>
      <c r="C6" s="284" t="s">
        <v>552</v>
      </c>
      <c r="D6" s="270" t="s">
        <v>249</v>
      </c>
      <c r="E6" s="209" t="s">
        <v>106</v>
      </c>
      <c r="F6" s="235"/>
      <c r="G6" s="235" t="s">
        <v>9</v>
      </c>
      <c r="H6" s="265">
        <v>135</v>
      </c>
      <c r="I6" s="266"/>
      <c r="J6" s="225"/>
      <c r="K6" s="236">
        <f t="shared" ref="K6:K13" si="0">I6</f>
        <v>0</v>
      </c>
      <c r="L6" s="236">
        <v>0</v>
      </c>
      <c r="M6" s="236">
        <f t="shared" ref="M6:M14" si="1">K6-L6</f>
        <v>0</v>
      </c>
      <c r="N6" s="237">
        <v>135</v>
      </c>
      <c r="O6" s="225"/>
      <c r="P6" s="238">
        <f>P5+N6</f>
        <v>16683.22</v>
      </c>
      <c r="Q6" s="213"/>
    </row>
    <row r="7" spans="1:17" s="221" customFormat="1" ht="14" x14ac:dyDescent="0.2">
      <c r="A7" s="212">
        <v>45755</v>
      </c>
      <c r="B7" s="208" t="s">
        <v>591</v>
      </c>
      <c r="C7" s="285" t="s">
        <v>592</v>
      </c>
      <c r="D7" s="262">
        <v>603359682</v>
      </c>
      <c r="E7" s="239" t="s">
        <v>106</v>
      </c>
      <c r="F7" s="11" t="s">
        <v>627</v>
      </c>
      <c r="G7" s="208" t="s">
        <v>60</v>
      </c>
      <c r="H7" s="210"/>
      <c r="I7" s="211">
        <v>474.24</v>
      </c>
      <c r="J7" s="225"/>
      <c r="K7" s="236">
        <f t="shared" si="0"/>
        <v>474.24</v>
      </c>
      <c r="L7" s="236">
        <v>79.040000000000006</v>
      </c>
      <c r="M7" s="236">
        <f t="shared" si="1"/>
        <v>395.2</v>
      </c>
      <c r="N7" s="237">
        <v>-474.24</v>
      </c>
      <c r="O7" s="225"/>
      <c r="P7" s="238">
        <f t="shared" ref="P7:P23" si="2">P6+N7</f>
        <v>16208.980000000001</v>
      </c>
      <c r="Q7" s="213"/>
    </row>
    <row r="8" spans="1:17" s="221" customFormat="1" ht="14" x14ac:dyDescent="0.2">
      <c r="A8" s="212">
        <v>45758</v>
      </c>
      <c r="B8" s="208" t="s">
        <v>119</v>
      </c>
      <c r="C8" s="285" t="s">
        <v>590</v>
      </c>
      <c r="D8" s="262" t="s">
        <v>239</v>
      </c>
      <c r="E8" s="239" t="s">
        <v>106</v>
      </c>
      <c r="F8" s="240"/>
      <c r="G8" s="208" t="s">
        <v>9</v>
      </c>
      <c r="H8" s="263">
        <v>250</v>
      </c>
      <c r="I8" s="211"/>
      <c r="J8" s="225"/>
      <c r="K8" s="236">
        <f t="shared" si="0"/>
        <v>0</v>
      </c>
      <c r="L8" s="236">
        <v>0</v>
      </c>
      <c r="M8" s="236">
        <f t="shared" si="1"/>
        <v>0</v>
      </c>
      <c r="N8" s="237">
        <v>250</v>
      </c>
      <c r="O8" s="225"/>
      <c r="P8" s="238">
        <f t="shared" si="2"/>
        <v>16458.980000000003</v>
      </c>
      <c r="Q8" s="213"/>
    </row>
    <row r="9" spans="1:17" s="221" customFormat="1" ht="14" x14ac:dyDescent="0.2">
      <c r="A9" s="212">
        <v>45762</v>
      </c>
      <c r="B9" s="208" t="s">
        <v>565</v>
      </c>
      <c r="C9" s="285" t="s">
        <v>378</v>
      </c>
      <c r="D9" s="262"/>
      <c r="E9" s="239"/>
      <c r="F9" s="240"/>
      <c r="G9" s="208" t="s">
        <v>13</v>
      </c>
      <c r="H9" s="210"/>
      <c r="I9" s="211">
        <v>72.8</v>
      </c>
      <c r="J9" s="225"/>
      <c r="K9" s="236">
        <f t="shared" si="0"/>
        <v>72.8</v>
      </c>
      <c r="L9" s="236">
        <v>0</v>
      </c>
      <c r="M9" s="236">
        <f t="shared" si="1"/>
        <v>72.8</v>
      </c>
      <c r="N9" s="237">
        <v>-104</v>
      </c>
      <c r="O9" s="225"/>
      <c r="P9" s="238">
        <f t="shared" si="2"/>
        <v>16354.980000000003</v>
      </c>
      <c r="Q9" s="213"/>
    </row>
    <row r="10" spans="1:17" s="221" customFormat="1" ht="14" x14ac:dyDescent="0.2">
      <c r="A10" s="212">
        <v>45762</v>
      </c>
      <c r="B10" s="208" t="s">
        <v>566</v>
      </c>
      <c r="C10" s="285" t="s">
        <v>378</v>
      </c>
      <c r="D10" s="262"/>
      <c r="E10" s="239"/>
      <c r="F10" s="240"/>
      <c r="G10" s="208" t="s">
        <v>13</v>
      </c>
      <c r="H10" s="210"/>
      <c r="I10" s="211">
        <v>291.2</v>
      </c>
      <c r="J10" s="225"/>
      <c r="K10" s="236">
        <f t="shared" si="0"/>
        <v>291.2</v>
      </c>
      <c r="L10" s="236">
        <v>0</v>
      </c>
      <c r="M10" s="236">
        <f t="shared" si="1"/>
        <v>291.2</v>
      </c>
      <c r="N10" s="237">
        <v>-430.63</v>
      </c>
      <c r="O10" s="225"/>
      <c r="P10" s="238">
        <f t="shared" si="2"/>
        <v>15924.350000000004</v>
      </c>
      <c r="Q10" s="213"/>
    </row>
    <row r="11" spans="1:17" s="221" customFormat="1" ht="14" x14ac:dyDescent="0.2">
      <c r="A11" s="212">
        <v>45762</v>
      </c>
      <c r="B11" s="184" t="s">
        <v>567</v>
      </c>
      <c r="C11" s="285" t="s">
        <v>379</v>
      </c>
      <c r="D11" s="262"/>
      <c r="E11" s="209"/>
      <c r="F11" s="208"/>
      <c r="G11" s="208" t="s">
        <v>19</v>
      </c>
      <c r="H11" s="210"/>
      <c r="I11" s="211">
        <v>14.63</v>
      </c>
      <c r="J11" s="225"/>
      <c r="K11" s="236">
        <f t="shared" si="0"/>
        <v>14.63</v>
      </c>
      <c r="L11" s="236">
        <v>0</v>
      </c>
      <c r="M11" s="236">
        <f t="shared" si="1"/>
        <v>14.63</v>
      </c>
      <c r="N11" s="237"/>
      <c r="O11" s="225"/>
      <c r="P11" s="238">
        <f t="shared" si="2"/>
        <v>15924.350000000004</v>
      </c>
      <c r="Q11" s="213"/>
    </row>
    <row r="12" spans="1:17" s="221" customFormat="1" ht="14" x14ac:dyDescent="0.2">
      <c r="A12" s="212">
        <v>45762</v>
      </c>
      <c r="B12" s="184" t="s">
        <v>568</v>
      </c>
      <c r="C12" s="285" t="s">
        <v>467</v>
      </c>
      <c r="D12" s="262"/>
      <c r="E12" s="209"/>
      <c r="F12" s="208"/>
      <c r="G12" s="208" t="s">
        <v>17</v>
      </c>
      <c r="H12" s="210"/>
      <c r="I12" s="211">
        <v>31.2</v>
      </c>
      <c r="J12" s="225"/>
      <c r="K12" s="236">
        <f t="shared" si="0"/>
        <v>31.2</v>
      </c>
      <c r="L12" s="236">
        <v>0</v>
      </c>
      <c r="M12" s="236">
        <f t="shared" si="1"/>
        <v>31.2</v>
      </c>
      <c r="N12" s="237"/>
      <c r="O12" s="225"/>
      <c r="P12" s="238">
        <f t="shared" si="2"/>
        <v>15924.350000000004</v>
      </c>
      <c r="Q12" s="213"/>
    </row>
    <row r="13" spans="1:17" s="221" customFormat="1" ht="14" x14ac:dyDescent="0.2">
      <c r="A13" s="212">
        <v>45762</v>
      </c>
      <c r="B13" s="184" t="s">
        <v>569</v>
      </c>
      <c r="C13" s="285" t="s">
        <v>467</v>
      </c>
      <c r="D13" s="262"/>
      <c r="E13" s="209"/>
      <c r="F13" s="208"/>
      <c r="G13" s="208" t="s">
        <v>17</v>
      </c>
      <c r="H13" s="210"/>
      <c r="I13" s="211">
        <v>124.8</v>
      </c>
      <c r="J13" s="225"/>
      <c r="K13" s="236">
        <f t="shared" si="0"/>
        <v>124.8</v>
      </c>
      <c r="L13" s="236">
        <v>0</v>
      </c>
      <c r="M13" s="236">
        <f t="shared" si="1"/>
        <v>124.8</v>
      </c>
      <c r="N13" s="237"/>
      <c r="O13" s="225"/>
      <c r="P13" s="238">
        <f t="shared" si="2"/>
        <v>15924.350000000004</v>
      </c>
      <c r="Q13" s="213"/>
    </row>
    <row r="14" spans="1:17" ht="14" x14ac:dyDescent="0.2">
      <c r="A14" s="212">
        <v>45769</v>
      </c>
      <c r="B14" s="184" t="s">
        <v>134</v>
      </c>
      <c r="C14" s="285" t="s">
        <v>570</v>
      </c>
      <c r="D14" s="262" t="s">
        <v>583</v>
      </c>
      <c r="E14" s="209" t="s">
        <v>106</v>
      </c>
      <c r="F14" s="11" t="s">
        <v>627</v>
      </c>
      <c r="G14" s="208" t="s">
        <v>61</v>
      </c>
      <c r="H14" s="210"/>
      <c r="I14" s="211">
        <v>9.89</v>
      </c>
      <c r="J14" s="241"/>
      <c r="K14" s="236">
        <f t="shared" ref="K14:K16" si="3">I14</f>
        <v>9.89</v>
      </c>
      <c r="L14" s="236">
        <v>1.65</v>
      </c>
      <c r="M14" s="236">
        <f t="shared" si="1"/>
        <v>8.24</v>
      </c>
      <c r="N14" s="237">
        <v>-27.93</v>
      </c>
      <c r="O14" s="237"/>
      <c r="P14" s="238">
        <f t="shared" si="2"/>
        <v>15896.420000000004</v>
      </c>
      <c r="Q14" s="242"/>
    </row>
    <row r="15" spans="1:17" ht="14" x14ac:dyDescent="0.2">
      <c r="A15" s="212">
        <v>45769</v>
      </c>
      <c r="B15" s="184" t="s">
        <v>134</v>
      </c>
      <c r="C15" s="285" t="s">
        <v>571</v>
      </c>
      <c r="D15" s="262" t="s">
        <v>584</v>
      </c>
      <c r="E15" s="209" t="s">
        <v>106</v>
      </c>
      <c r="F15" s="11" t="s">
        <v>627</v>
      </c>
      <c r="G15" s="208" t="s">
        <v>61</v>
      </c>
      <c r="H15" s="210"/>
      <c r="I15" s="211">
        <v>18.04</v>
      </c>
      <c r="J15" s="241"/>
      <c r="K15" s="236">
        <f t="shared" si="3"/>
        <v>18.04</v>
      </c>
      <c r="L15" s="236">
        <v>3</v>
      </c>
      <c r="M15" s="236">
        <f>K15-L14</f>
        <v>16.39</v>
      </c>
      <c r="N15" s="237"/>
      <c r="O15" s="237"/>
      <c r="P15" s="238">
        <f t="shared" si="2"/>
        <v>15896.420000000004</v>
      </c>
      <c r="Q15" s="242"/>
    </row>
    <row r="16" spans="1:17" ht="14" x14ac:dyDescent="0.2">
      <c r="A16" s="212">
        <v>45769</v>
      </c>
      <c r="B16" s="183" t="s">
        <v>95</v>
      </c>
      <c r="C16" s="285" t="s">
        <v>572</v>
      </c>
      <c r="D16" s="262" t="s">
        <v>249</v>
      </c>
      <c r="E16" s="209" t="s">
        <v>106</v>
      </c>
      <c r="F16" s="208"/>
      <c r="G16" s="208" t="s">
        <v>19</v>
      </c>
      <c r="H16" s="210"/>
      <c r="I16" s="211">
        <v>42.5</v>
      </c>
      <c r="J16" s="241"/>
      <c r="K16" s="236">
        <f t="shared" si="3"/>
        <v>42.5</v>
      </c>
      <c r="L16" s="236">
        <v>0</v>
      </c>
      <c r="M16" s="236">
        <f>K16-L15</f>
        <v>39.5</v>
      </c>
      <c r="N16" s="237">
        <v>-54.46</v>
      </c>
      <c r="O16" s="237"/>
      <c r="P16" s="238">
        <f t="shared" si="2"/>
        <v>15841.960000000005</v>
      </c>
      <c r="Q16" s="242"/>
    </row>
    <row r="17" spans="1:17" ht="14" x14ac:dyDescent="0.2">
      <c r="A17" s="212">
        <v>45769</v>
      </c>
      <c r="B17" s="183" t="s">
        <v>95</v>
      </c>
      <c r="C17" s="286" t="s">
        <v>573</v>
      </c>
      <c r="D17" s="262" t="s">
        <v>585</v>
      </c>
      <c r="E17" s="209" t="s">
        <v>106</v>
      </c>
      <c r="F17" s="208"/>
      <c r="G17" s="208" t="s">
        <v>19</v>
      </c>
      <c r="H17" s="210"/>
      <c r="I17" s="211">
        <v>11.96</v>
      </c>
      <c r="J17" s="241"/>
      <c r="K17" s="236">
        <f t="shared" ref="K17:K22" si="4">I17</f>
        <v>11.96</v>
      </c>
      <c r="L17" s="236">
        <v>0</v>
      </c>
      <c r="M17" s="236">
        <f t="shared" ref="M17:M22" si="5">K17-L17</f>
        <v>11.96</v>
      </c>
      <c r="N17" s="237"/>
      <c r="O17" s="237"/>
      <c r="P17" s="238">
        <f t="shared" si="2"/>
        <v>15841.960000000005</v>
      </c>
      <c r="Q17" s="242"/>
    </row>
    <row r="18" spans="1:17" ht="28" x14ac:dyDescent="0.2">
      <c r="A18" s="212">
        <v>45769</v>
      </c>
      <c r="B18" s="183" t="s">
        <v>255</v>
      </c>
      <c r="C18" s="286" t="s">
        <v>574</v>
      </c>
      <c r="D18" s="262" t="s">
        <v>249</v>
      </c>
      <c r="E18" s="209" t="s">
        <v>106</v>
      </c>
      <c r="F18" s="208"/>
      <c r="G18" s="208" t="s">
        <v>477</v>
      </c>
      <c r="H18" s="210"/>
      <c r="I18" s="211">
        <v>54.84</v>
      </c>
      <c r="J18" s="241"/>
      <c r="K18" s="236">
        <f t="shared" si="4"/>
        <v>54.84</v>
      </c>
      <c r="L18" s="236">
        <v>0</v>
      </c>
      <c r="M18" s="236">
        <f t="shared" si="5"/>
        <v>54.84</v>
      </c>
      <c r="N18" s="237">
        <v>-54.84</v>
      </c>
      <c r="O18" s="237"/>
      <c r="P18" s="238">
        <f t="shared" si="2"/>
        <v>15787.120000000004</v>
      </c>
      <c r="Q18" s="242"/>
    </row>
    <row r="19" spans="1:17" ht="28" x14ac:dyDescent="0.2">
      <c r="A19" s="212">
        <v>45769</v>
      </c>
      <c r="B19" s="183" t="s">
        <v>426</v>
      </c>
      <c r="C19" s="286" t="s">
        <v>574</v>
      </c>
      <c r="D19" s="262" t="s">
        <v>249</v>
      </c>
      <c r="E19" s="209" t="s">
        <v>106</v>
      </c>
      <c r="F19" s="208"/>
      <c r="G19" s="208" t="s">
        <v>477</v>
      </c>
      <c r="H19" s="210"/>
      <c r="I19" s="211">
        <v>33.950000000000003</v>
      </c>
      <c r="J19" s="241"/>
      <c r="K19" s="236">
        <f t="shared" si="4"/>
        <v>33.950000000000003</v>
      </c>
      <c r="L19" s="236">
        <v>0</v>
      </c>
      <c r="M19" s="236">
        <f t="shared" si="5"/>
        <v>33.950000000000003</v>
      </c>
      <c r="N19" s="237">
        <v>-33.950000000000003</v>
      </c>
      <c r="O19" s="237"/>
      <c r="P19" s="238">
        <f t="shared" si="2"/>
        <v>15753.170000000004</v>
      </c>
      <c r="Q19" s="242"/>
    </row>
    <row r="20" spans="1:17" ht="14" x14ac:dyDescent="0.2">
      <c r="A20" s="212">
        <v>45769</v>
      </c>
      <c r="B20" s="183" t="s">
        <v>507</v>
      </c>
      <c r="C20" s="286" t="s">
        <v>575</v>
      </c>
      <c r="D20" s="262" t="s">
        <v>586</v>
      </c>
      <c r="E20" s="209" t="s">
        <v>106</v>
      </c>
      <c r="F20" s="208"/>
      <c r="G20" s="208" t="s">
        <v>477</v>
      </c>
      <c r="H20" s="210"/>
      <c r="I20" s="211">
        <v>30</v>
      </c>
      <c r="J20" s="241"/>
      <c r="K20" s="236">
        <f t="shared" si="4"/>
        <v>30</v>
      </c>
      <c r="L20" s="236">
        <v>0</v>
      </c>
      <c r="M20" s="236">
        <f t="shared" si="5"/>
        <v>30</v>
      </c>
      <c r="N20" s="237">
        <v>-30</v>
      </c>
      <c r="O20" s="237"/>
      <c r="P20" s="238">
        <f t="shared" si="2"/>
        <v>15723.170000000004</v>
      </c>
      <c r="Q20" s="242"/>
    </row>
    <row r="21" spans="1:17" ht="28" x14ac:dyDescent="0.2">
      <c r="A21" s="212">
        <v>45769</v>
      </c>
      <c r="B21" s="183" t="s">
        <v>296</v>
      </c>
      <c r="C21" s="286" t="s">
        <v>576</v>
      </c>
      <c r="D21" s="262" t="s">
        <v>587</v>
      </c>
      <c r="E21" s="209" t="s">
        <v>106</v>
      </c>
      <c r="F21" s="208"/>
      <c r="G21" s="208" t="s">
        <v>44</v>
      </c>
      <c r="H21" s="210"/>
      <c r="I21" s="211">
        <v>202.5</v>
      </c>
      <c r="J21" s="241"/>
      <c r="K21" s="236">
        <f t="shared" si="4"/>
        <v>202.5</v>
      </c>
      <c r="L21" s="236">
        <v>0</v>
      </c>
      <c r="M21" s="236">
        <f t="shared" si="5"/>
        <v>202.5</v>
      </c>
      <c r="N21" s="237">
        <v>-202.5</v>
      </c>
      <c r="O21" s="237"/>
      <c r="P21" s="238">
        <f t="shared" si="2"/>
        <v>15520.670000000004</v>
      </c>
      <c r="Q21" s="242"/>
    </row>
    <row r="22" spans="1:17" ht="14" x14ac:dyDescent="0.2">
      <c r="A22" s="212">
        <v>45769</v>
      </c>
      <c r="B22" s="183" t="s">
        <v>580</v>
      </c>
      <c r="C22" s="286" t="s">
        <v>581</v>
      </c>
      <c r="D22" s="262" t="s">
        <v>589</v>
      </c>
      <c r="E22" s="209" t="s">
        <v>106</v>
      </c>
      <c r="F22" s="11" t="s">
        <v>627</v>
      </c>
      <c r="G22" s="208" t="s">
        <v>98</v>
      </c>
      <c r="H22" s="210"/>
      <c r="I22" s="211">
        <v>333.6</v>
      </c>
      <c r="J22" s="243"/>
      <c r="K22" s="236">
        <f t="shared" si="4"/>
        <v>333.6</v>
      </c>
      <c r="L22" s="236">
        <v>55.6</v>
      </c>
      <c r="M22" s="236">
        <f t="shared" si="5"/>
        <v>278</v>
      </c>
      <c r="N22" s="237">
        <v>-333.6</v>
      </c>
      <c r="O22" s="244"/>
      <c r="P22" s="238">
        <f t="shared" si="2"/>
        <v>15187.070000000003</v>
      </c>
      <c r="Q22" s="242"/>
    </row>
    <row r="23" spans="1:17" x14ac:dyDescent="0.2">
      <c r="A23" s="245"/>
      <c r="B23" s="246"/>
      <c r="C23" s="287"/>
      <c r="D23" s="271"/>
      <c r="E23" s="247"/>
      <c r="F23" s="248"/>
      <c r="G23" s="249"/>
      <c r="H23" s="250"/>
      <c r="I23" s="251"/>
      <c r="J23" s="252"/>
      <c r="K23" s="253"/>
      <c r="L23" s="253"/>
      <c r="M23" s="254"/>
      <c r="N23" s="253"/>
      <c r="O23" s="255"/>
      <c r="P23" s="233">
        <f t="shared" si="2"/>
        <v>15187.070000000003</v>
      </c>
      <c r="Q23" s="256" t="s">
        <v>626</v>
      </c>
    </row>
    <row r="24" spans="1:17" ht="14" x14ac:dyDescent="0.2">
      <c r="A24" s="183">
        <v>45762</v>
      </c>
      <c r="B24" s="208" t="s">
        <v>119</v>
      </c>
      <c r="C24" s="285" t="s">
        <v>608</v>
      </c>
      <c r="D24" s="262" t="s">
        <v>239</v>
      </c>
      <c r="E24" s="209"/>
      <c r="F24" s="262"/>
      <c r="G24" s="208" t="s">
        <v>4</v>
      </c>
      <c r="H24" s="263">
        <v>13250</v>
      </c>
      <c r="I24" s="211">
        <v>0</v>
      </c>
      <c r="J24" s="241"/>
      <c r="K24" s="236">
        <f t="shared" ref="K24:K27" si="6">I24</f>
        <v>0</v>
      </c>
      <c r="L24" s="236">
        <v>0</v>
      </c>
      <c r="M24" s="236">
        <f t="shared" ref="M24:M35" si="7">K24-L24</f>
        <v>0</v>
      </c>
      <c r="N24" s="237">
        <v>13250</v>
      </c>
      <c r="O24" s="237"/>
      <c r="P24" s="237">
        <f>P23+N24</f>
        <v>28437.070000000003</v>
      </c>
      <c r="Q24" s="242"/>
    </row>
    <row r="25" spans="1:17" ht="14" x14ac:dyDescent="0.2">
      <c r="A25" s="183">
        <v>45769</v>
      </c>
      <c r="B25" s="183" t="s">
        <v>577</v>
      </c>
      <c r="C25" s="286" t="s">
        <v>578</v>
      </c>
      <c r="D25" s="262">
        <v>16431</v>
      </c>
      <c r="E25" s="209" t="s">
        <v>106</v>
      </c>
      <c r="F25" s="11" t="s">
        <v>627</v>
      </c>
      <c r="G25" s="208" t="s">
        <v>50</v>
      </c>
      <c r="H25" s="263"/>
      <c r="I25" s="211">
        <v>567.74</v>
      </c>
      <c r="J25" s="241"/>
      <c r="K25" s="236">
        <f t="shared" si="6"/>
        <v>567.74</v>
      </c>
      <c r="L25" s="236">
        <v>94.62</v>
      </c>
      <c r="M25" s="236">
        <f t="shared" si="7"/>
        <v>473.12</v>
      </c>
      <c r="N25" s="237">
        <v>-567.74</v>
      </c>
      <c r="O25" s="237"/>
      <c r="P25" s="237">
        <f t="shared" ref="P25:P108" si="8">P24+N25</f>
        <v>27869.33</v>
      </c>
      <c r="Q25" s="242"/>
    </row>
    <row r="26" spans="1:17" ht="28" x14ac:dyDescent="0.2">
      <c r="A26" s="183">
        <v>45769</v>
      </c>
      <c r="B26" s="183" t="s">
        <v>94</v>
      </c>
      <c r="C26" s="286" t="s">
        <v>579</v>
      </c>
      <c r="D26" s="262">
        <v>1930</v>
      </c>
      <c r="E26" s="209" t="s">
        <v>106</v>
      </c>
      <c r="F26" s="262"/>
      <c r="G26" s="208" t="s">
        <v>30</v>
      </c>
      <c r="H26" s="263"/>
      <c r="I26" s="211">
        <v>314.7</v>
      </c>
      <c r="J26" s="241"/>
      <c r="K26" s="236">
        <f t="shared" si="6"/>
        <v>314.7</v>
      </c>
      <c r="L26" s="236">
        <v>0</v>
      </c>
      <c r="M26" s="236">
        <f t="shared" si="7"/>
        <v>314.7</v>
      </c>
      <c r="N26" s="237">
        <v>-314.7</v>
      </c>
      <c r="O26" s="237"/>
      <c r="P26" s="237">
        <f t="shared" si="8"/>
        <v>27554.63</v>
      </c>
      <c r="Q26" s="242"/>
    </row>
    <row r="27" spans="1:17" ht="28" x14ac:dyDescent="0.2">
      <c r="A27" s="183">
        <v>45769</v>
      </c>
      <c r="B27" s="184" t="s">
        <v>33</v>
      </c>
      <c r="C27" s="285" t="s">
        <v>582</v>
      </c>
      <c r="D27" s="262" t="s">
        <v>588</v>
      </c>
      <c r="E27" s="209" t="s">
        <v>106</v>
      </c>
      <c r="F27" s="262"/>
      <c r="G27" s="208" t="s">
        <v>32</v>
      </c>
      <c r="H27" s="263"/>
      <c r="I27" s="211">
        <v>150</v>
      </c>
      <c r="J27" s="241"/>
      <c r="K27" s="236">
        <f t="shared" si="6"/>
        <v>150</v>
      </c>
      <c r="L27" s="236">
        <v>0</v>
      </c>
      <c r="M27" s="236">
        <f t="shared" si="7"/>
        <v>150</v>
      </c>
      <c r="N27" s="237">
        <v>-150</v>
      </c>
      <c r="O27" s="237"/>
      <c r="P27" s="237">
        <f t="shared" si="8"/>
        <v>27404.63</v>
      </c>
    </row>
    <row r="28" spans="1:17" ht="14" x14ac:dyDescent="0.2">
      <c r="A28" s="183">
        <v>45769</v>
      </c>
      <c r="B28" s="184" t="s">
        <v>545</v>
      </c>
      <c r="C28" s="285" t="s">
        <v>617</v>
      </c>
      <c r="D28" s="262">
        <v>452271923</v>
      </c>
      <c r="E28" s="209" t="s">
        <v>106</v>
      </c>
      <c r="F28" s="262"/>
      <c r="G28" s="208" t="s">
        <v>27</v>
      </c>
      <c r="H28" s="263"/>
      <c r="I28" s="211">
        <v>4.25</v>
      </c>
      <c r="J28" s="241"/>
      <c r="K28" s="236">
        <f t="shared" ref="K28" si="9">I28</f>
        <v>4.25</v>
      </c>
      <c r="L28" s="236"/>
      <c r="M28" s="236">
        <f t="shared" ref="M28" si="10">K28-L28</f>
        <v>4.25</v>
      </c>
      <c r="N28" s="237">
        <v>-4.25</v>
      </c>
      <c r="O28" s="237"/>
      <c r="P28" s="237">
        <f t="shared" si="8"/>
        <v>27400.38</v>
      </c>
      <c r="Q28" s="242"/>
    </row>
    <row r="29" spans="1:17" ht="28" x14ac:dyDescent="0.2">
      <c r="A29" s="183">
        <v>45771</v>
      </c>
      <c r="B29" s="183" t="s">
        <v>96</v>
      </c>
      <c r="C29" s="286" t="s">
        <v>618</v>
      </c>
      <c r="D29" s="262">
        <v>7663658</v>
      </c>
      <c r="E29" s="209" t="s">
        <v>106</v>
      </c>
      <c r="F29" s="262"/>
      <c r="G29" s="208" t="s">
        <v>48</v>
      </c>
      <c r="H29" s="263"/>
      <c r="I29" s="211">
        <v>35.01</v>
      </c>
      <c r="J29" s="241"/>
      <c r="K29" s="236">
        <f t="shared" ref="K29:K35" si="11">I29</f>
        <v>35.01</v>
      </c>
      <c r="L29" s="236">
        <v>0</v>
      </c>
      <c r="M29" s="236">
        <f t="shared" si="7"/>
        <v>35.01</v>
      </c>
      <c r="N29" s="237">
        <v>-35.01</v>
      </c>
      <c r="O29" s="237"/>
      <c r="P29" s="237">
        <f t="shared" si="8"/>
        <v>27365.370000000003</v>
      </c>
      <c r="Q29" s="242"/>
    </row>
    <row r="30" spans="1:17" ht="14" x14ac:dyDescent="0.2">
      <c r="A30" s="183">
        <v>45772</v>
      </c>
      <c r="B30" s="208" t="s">
        <v>119</v>
      </c>
      <c r="C30" s="285" t="s">
        <v>619</v>
      </c>
      <c r="D30" s="262"/>
      <c r="E30" s="209"/>
      <c r="F30" s="262"/>
      <c r="G30" s="208" t="s">
        <v>9</v>
      </c>
      <c r="H30" s="263">
        <v>729.88</v>
      </c>
      <c r="I30" s="211">
        <v>0</v>
      </c>
      <c r="J30" s="241"/>
      <c r="K30" s="236">
        <f t="shared" si="11"/>
        <v>0</v>
      </c>
      <c r="L30" s="236">
        <v>0</v>
      </c>
      <c r="M30" s="236">
        <f t="shared" si="7"/>
        <v>0</v>
      </c>
      <c r="N30" s="237">
        <v>729.88</v>
      </c>
      <c r="O30" s="237"/>
      <c r="P30" s="237">
        <f t="shared" si="8"/>
        <v>28095.250000000004</v>
      </c>
      <c r="Q30" s="242"/>
    </row>
    <row r="31" spans="1:17" ht="14" x14ac:dyDescent="0.2">
      <c r="A31" s="183">
        <v>45777</v>
      </c>
      <c r="B31" s="208" t="s">
        <v>620</v>
      </c>
      <c r="C31" s="285" t="s">
        <v>621</v>
      </c>
      <c r="D31" s="262" t="s">
        <v>239</v>
      </c>
      <c r="E31" s="209" t="s">
        <v>106</v>
      </c>
      <c r="F31" s="262"/>
      <c r="G31" s="208" t="s">
        <v>34</v>
      </c>
      <c r="H31" s="263"/>
      <c r="I31" s="211">
        <v>100</v>
      </c>
      <c r="J31" s="241"/>
      <c r="K31" s="236">
        <f t="shared" si="11"/>
        <v>100</v>
      </c>
      <c r="L31" s="236">
        <v>0</v>
      </c>
      <c r="M31" s="236">
        <f t="shared" si="7"/>
        <v>100</v>
      </c>
      <c r="N31" s="237">
        <v>-100</v>
      </c>
      <c r="O31" s="237"/>
      <c r="P31" s="237">
        <f t="shared" si="8"/>
        <v>27995.250000000004</v>
      </c>
      <c r="Q31" s="242"/>
    </row>
    <row r="32" spans="1:17" ht="14" x14ac:dyDescent="0.2">
      <c r="A32" s="183">
        <v>45777</v>
      </c>
      <c r="B32" s="208" t="s">
        <v>485</v>
      </c>
      <c r="C32" s="285" t="s">
        <v>486</v>
      </c>
      <c r="D32" s="262" t="s">
        <v>622</v>
      </c>
      <c r="E32" s="209" t="s">
        <v>106</v>
      </c>
      <c r="F32" s="11" t="s">
        <v>844</v>
      </c>
      <c r="G32" s="208" t="s">
        <v>25</v>
      </c>
      <c r="H32" s="263"/>
      <c r="I32" s="211">
        <v>273</v>
      </c>
      <c r="J32" s="241"/>
      <c r="K32" s="236">
        <f t="shared" si="11"/>
        <v>273</v>
      </c>
      <c r="L32" s="236">
        <v>45.5</v>
      </c>
      <c r="M32" s="236">
        <f t="shared" si="7"/>
        <v>227.5</v>
      </c>
      <c r="N32" s="237">
        <v>-273</v>
      </c>
      <c r="O32" s="237"/>
      <c r="P32" s="237">
        <f t="shared" si="8"/>
        <v>27722.250000000004</v>
      </c>
    </row>
    <row r="33" spans="1:17" ht="14" x14ac:dyDescent="0.2">
      <c r="A33" s="183">
        <v>45790</v>
      </c>
      <c r="B33" s="208" t="s">
        <v>634</v>
      </c>
      <c r="C33" s="285" t="s">
        <v>635</v>
      </c>
      <c r="D33" s="262"/>
      <c r="E33" s="239"/>
      <c r="F33" s="240"/>
      <c r="G33" s="208" t="s">
        <v>13</v>
      </c>
      <c r="H33" s="210"/>
      <c r="I33" s="211">
        <v>73.5</v>
      </c>
      <c r="J33" s="241"/>
      <c r="K33" s="236">
        <f t="shared" si="11"/>
        <v>73.5</v>
      </c>
      <c r="L33" s="236">
        <v>0</v>
      </c>
      <c r="M33" s="236">
        <f t="shared" si="7"/>
        <v>73.5</v>
      </c>
      <c r="N33" s="237">
        <v>-105</v>
      </c>
      <c r="O33" s="237"/>
      <c r="P33" s="237">
        <f t="shared" si="8"/>
        <v>27617.250000000004</v>
      </c>
      <c r="Q33" s="242"/>
    </row>
    <row r="34" spans="1:17" ht="14" x14ac:dyDescent="0.2">
      <c r="A34" s="183">
        <v>45790</v>
      </c>
      <c r="B34" s="208" t="s">
        <v>638</v>
      </c>
      <c r="C34" s="285" t="s">
        <v>635</v>
      </c>
      <c r="D34" s="262"/>
      <c r="E34" s="239"/>
      <c r="F34" s="240"/>
      <c r="G34" s="208" t="s">
        <v>13</v>
      </c>
      <c r="H34" s="210"/>
      <c r="I34" s="211">
        <v>294.14</v>
      </c>
      <c r="J34" s="241"/>
      <c r="K34" s="236">
        <f t="shared" si="11"/>
        <v>294.14</v>
      </c>
      <c r="L34" s="236">
        <v>0</v>
      </c>
      <c r="M34" s="236">
        <f t="shared" si="7"/>
        <v>294.14</v>
      </c>
      <c r="N34" s="237">
        <v>-422.45</v>
      </c>
      <c r="O34" s="237"/>
      <c r="P34" s="237">
        <f t="shared" si="8"/>
        <v>27194.800000000003</v>
      </c>
      <c r="Q34" s="242"/>
    </row>
    <row r="35" spans="1:17" ht="14" x14ac:dyDescent="0.2">
      <c r="A35" s="183">
        <v>45790</v>
      </c>
      <c r="B35" s="184" t="s">
        <v>638</v>
      </c>
      <c r="C35" s="285" t="s">
        <v>636</v>
      </c>
      <c r="D35" s="262"/>
      <c r="E35" s="209"/>
      <c r="F35" s="208"/>
      <c r="G35" s="208" t="s">
        <v>19</v>
      </c>
      <c r="H35" s="210"/>
      <c r="I35" s="211">
        <v>2.25</v>
      </c>
      <c r="J35" s="241"/>
      <c r="K35" s="236">
        <f t="shared" si="11"/>
        <v>2.25</v>
      </c>
      <c r="L35" s="236">
        <v>0</v>
      </c>
      <c r="M35" s="236">
        <f t="shared" si="7"/>
        <v>2.25</v>
      </c>
      <c r="N35" s="237"/>
      <c r="O35" s="237"/>
      <c r="P35" s="237">
        <f t="shared" si="8"/>
        <v>27194.800000000003</v>
      </c>
      <c r="Q35" s="214"/>
    </row>
    <row r="36" spans="1:17" ht="14" x14ac:dyDescent="0.2">
      <c r="A36" s="183">
        <v>45790</v>
      </c>
      <c r="B36" s="184" t="s">
        <v>639</v>
      </c>
      <c r="C36" s="285" t="s">
        <v>637</v>
      </c>
      <c r="D36" s="262"/>
      <c r="E36" s="209"/>
      <c r="F36" s="208"/>
      <c r="G36" s="208" t="s">
        <v>17</v>
      </c>
      <c r="H36" s="210"/>
      <c r="I36" s="211">
        <v>31.5</v>
      </c>
      <c r="J36" s="241"/>
      <c r="K36" s="236">
        <f t="shared" ref="K36:K54" si="12">I36</f>
        <v>31.5</v>
      </c>
      <c r="L36" s="236">
        <v>0</v>
      </c>
      <c r="M36" s="236">
        <f t="shared" ref="M36:M76" si="13">K36-L36</f>
        <v>31.5</v>
      </c>
      <c r="N36" s="237"/>
      <c r="O36" s="237"/>
      <c r="P36" s="237">
        <f t="shared" si="8"/>
        <v>27194.800000000003</v>
      </c>
      <c r="Q36" s="214"/>
    </row>
    <row r="37" spans="1:17" ht="14" x14ac:dyDescent="0.2">
      <c r="A37" s="183">
        <v>45790</v>
      </c>
      <c r="B37" s="184" t="s">
        <v>638</v>
      </c>
      <c r="C37" s="285" t="s">
        <v>637</v>
      </c>
      <c r="D37" s="262"/>
      <c r="E37" s="209"/>
      <c r="F37" s="208"/>
      <c r="G37" s="208" t="s">
        <v>17</v>
      </c>
      <c r="H37" s="210"/>
      <c r="I37" s="211">
        <v>126.06</v>
      </c>
      <c r="J37" s="241"/>
      <c r="K37" s="236">
        <f t="shared" si="12"/>
        <v>126.06</v>
      </c>
      <c r="L37" s="236">
        <v>0</v>
      </c>
      <c r="M37" s="236">
        <f t="shared" si="13"/>
        <v>126.06</v>
      </c>
      <c r="N37" s="237"/>
      <c r="O37" s="237"/>
      <c r="P37" s="237">
        <f t="shared" si="8"/>
        <v>27194.800000000003</v>
      </c>
      <c r="Q37" s="214"/>
    </row>
    <row r="38" spans="1:17" ht="14" x14ac:dyDescent="0.2">
      <c r="A38" s="183">
        <v>45790</v>
      </c>
      <c r="B38" s="184" t="s">
        <v>577</v>
      </c>
      <c r="C38" s="285" t="s">
        <v>640</v>
      </c>
      <c r="D38" s="262">
        <v>16490</v>
      </c>
      <c r="E38" s="209" t="s">
        <v>106</v>
      </c>
      <c r="F38" s="11" t="s">
        <v>844</v>
      </c>
      <c r="G38" s="208" t="s">
        <v>50</v>
      </c>
      <c r="H38" s="210"/>
      <c r="I38" s="211">
        <v>1118.5</v>
      </c>
      <c r="J38" s="241"/>
      <c r="K38" s="236">
        <f t="shared" si="12"/>
        <v>1118.5</v>
      </c>
      <c r="L38" s="236">
        <v>186.42</v>
      </c>
      <c r="M38" s="236">
        <f t="shared" si="13"/>
        <v>932.08</v>
      </c>
      <c r="N38" s="237">
        <v>-1118.5</v>
      </c>
      <c r="O38" s="237"/>
      <c r="P38" s="237">
        <f t="shared" si="8"/>
        <v>26076.300000000003</v>
      </c>
      <c r="Q38" s="214"/>
    </row>
    <row r="39" spans="1:17" ht="14" x14ac:dyDescent="0.2">
      <c r="A39" s="183">
        <v>45790</v>
      </c>
      <c r="B39" s="184" t="s">
        <v>95</v>
      </c>
      <c r="C39" s="285" t="s">
        <v>641</v>
      </c>
      <c r="D39" s="262" t="s">
        <v>249</v>
      </c>
      <c r="E39" s="209" t="s">
        <v>106</v>
      </c>
      <c r="F39" s="11" t="s">
        <v>844</v>
      </c>
      <c r="G39" s="208" t="s">
        <v>19</v>
      </c>
      <c r="H39" s="210"/>
      <c r="I39" s="211">
        <v>73.849999999999994</v>
      </c>
      <c r="J39" s="241"/>
      <c r="K39" s="236">
        <f t="shared" si="12"/>
        <v>73.849999999999994</v>
      </c>
      <c r="L39" s="236">
        <v>9.5</v>
      </c>
      <c r="M39" s="236">
        <f t="shared" si="13"/>
        <v>64.349999999999994</v>
      </c>
      <c r="N39" s="237">
        <v>-73.849999999999994</v>
      </c>
      <c r="O39" s="237"/>
      <c r="P39" s="237">
        <f t="shared" si="8"/>
        <v>26002.450000000004</v>
      </c>
      <c r="Q39" s="214"/>
    </row>
    <row r="40" spans="1:17" ht="14" x14ac:dyDescent="0.2">
      <c r="A40" s="183">
        <v>45796</v>
      </c>
      <c r="B40" s="184" t="s">
        <v>545</v>
      </c>
      <c r="C40" s="285" t="s">
        <v>617</v>
      </c>
      <c r="D40" s="262">
        <v>454726520</v>
      </c>
      <c r="E40" s="209" t="s">
        <v>106</v>
      </c>
      <c r="F40" s="208"/>
      <c r="G40" s="208" t="s">
        <v>27</v>
      </c>
      <c r="H40" s="210"/>
      <c r="I40" s="211">
        <v>4.25</v>
      </c>
      <c r="J40" s="241"/>
      <c r="K40" s="236">
        <f t="shared" si="12"/>
        <v>4.25</v>
      </c>
      <c r="L40" s="236">
        <v>0</v>
      </c>
      <c r="M40" s="236">
        <f t="shared" si="13"/>
        <v>4.25</v>
      </c>
      <c r="N40" s="237">
        <v>-4.25</v>
      </c>
      <c r="O40" s="237"/>
      <c r="P40" s="237">
        <f t="shared" si="8"/>
        <v>25998.200000000004</v>
      </c>
      <c r="Q40" s="214"/>
    </row>
    <row r="41" spans="1:17" ht="14" x14ac:dyDescent="0.2">
      <c r="A41" s="183">
        <v>45797</v>
      </c>
      <c r="B41" s="184" t="s">
        <v>393</v>
      </c>
      <c r="C41" s="285" t="s">
        <v>394</v>
      </c>
      <c r="D41" s="262" t="s">
        <v>642</v>
      </c>
      <c r="E41" s="209" t="s">
        <v>106</v>
      </c>
      <c r="F41" s="11" t="s">
        <v>844</v>
      </c>
      <c r="G41" s="208" t="s">
        <v>19</v>
      </c>
      <c r="H41" s="210"/>
      <c r="I41" s="211">
        <v>45</v>
      </c>
      <c r="J41" s="241"/>
      <c r="K41" s="236">
        <f t="shared" si="12"/>
        <v>45</v>
      </c>
      <c r="L41" s="236">
        <v>7.5</v>
      </c>
      <c r="M41" s="236">
        <f t="shared" si="13"/>
        <v>37.5</v>
      </c>
      <c r="N41" s="237">
        <v>-45</v>
      </c>
      <c r="O41" s="237"/>
      <c r="P41" s="237">
        <f t="shared" si="8"/>
        <v>25953.200000000004</v>
      </c>
      <c r="Q41" s="214"/>
    </row>
    <row r="42" spans="1:17" ht="14" x14ac:dyDescent="0.2">
      <c r="A42" s="183">
        <v>45797</v>
      </c>
      <c r="B42" s="184" t="s">
        <v>95</v>
      </c>
      <c r="C42" s="285" t="s">
        <v>643</v>
      </c>
      <c r="D42" s="262" t="s">
        <v>655</v>
      </c>
      <c r="E42" s="209" t="s">
        <v>106</v>
      </c>
      <c r="F42" s="11" t="s">
        <v>844</v>
      </c>
      <c r="G42" s="208" t="s">
        <v>19</v>
      </c>
      <c r="H42" s="210"/>
      <c r="I42" s="211">
        <v>26.02</v>
      </c>
      <c r="J42" s="241"/>
      <c r="K42" s="236">
        <f t="shared" si="12"/>
        <v>26.02</v>
      </c>
      <c r="L42" s="236">
        <v>5.78</v>
      </c>
      <c r="M42" s="236">
        <f t="shared" si="13"/>
        <v>20.239999999999998</v>
      </c>
      <c r="N42" s="237">
        <v>-26.02</v>
      </c>
      <c r="O42" s="237"/>
      <c r="P42" s="237">
        <f t="shared" si="8"/>
        <v>25927.180000000004</v>
      </c>
      <c r="Q42" s="214"/>
    </row>
    <row r="43" spans="1:17" ht="14" x14ac:dyDescent="0.2">
      <c r="A43" s="183">
        <v>45823</v>
      </c>
      <c r="B43" s="208" t="s">
        <v>644</v>
      </c>
      <c r="C43" s="285" t="s">
        <v>647</v>
      </c>
      <c r="D43" s="262"/>
      <c r="E43" s="239"/>
      <c r="F43" s="240"/>
      <c r="G43" s="208" t="s">
        <v>13</v>
      </c>
      <c r="H43" s="210"/>
      <c r="I43" s="211">
        <v>73.5</v>
      </c>
      <c r="J43" s="241"/>
      <c r="K43" s="236">
        <f t="shared" ref="K43:K48" si="14">I43</f>
        <v>73.5</v>
      </c>
      <c r="L43" s="236">
        <v>0</v>
      </c>
      <c r="M43" s="236">
        <f t="shared" ref="M43:M47" si="15">K43-L43</f>
        <v>73.5</v>
      </c>
      <c r="N43" s="237">
        <v>-421.33</v>
      </c>
      <c r="O43" s="237"/>
      <c r="P43" s="237">
        <f t="shared" si="8"/>
        <v>25505.850000000002</v>
      </c>
      <c r="Q43" s="242"/>
    </row>
    <row r="44" spans="1:17" ht="14" x14ac:dyDescent="0.2">
      <c r="A44" s="183">
        <v>45823</v>
      </c>
      <c r="B44" s="208" t="s">
        <v>645</v>
      </c>
      <c r="C44" s="285" t="s">
        <v>647</v>
      </c>
      <c r="D44" s="262"/>
      <c r="E44" s="239"/>
      <c r="F44" s="240"/>
      <c r="G44" s="208" t="s">
        <v>13</v>
      </c>
      <c r="H44" s="210"/>
      <c r="I44" s="211">
        <v>294.14</v>
      </c>
      <c r="J44" s="241"/>
      <c r="K44" s="236">
        <f t="shared" si="14"/>
        <v>294.14</v>
      </c>
      <c r="L44" s="236">
        <v>0</v>
      </c>
      <c r="M44" s="236">
        <f t="shared" si="15"/>
        <v>294.14</v>
      </c>
      <c r="N44" s="237">
        <v>-105</v>
      </c>
      <c r="O44" s="237"/>
      <c r="P44" s="237">
        <f t="shared" si="8"/>
        <v>25400.850000000002</v>
      </c>
      <c r="Q44" s="242"/>
    </row>
    <row r="45" spans="1:17" ht="14" x14ac:dyDescent="0.2">
      <c r="A45" s="183">
        <v>45823</v>
      </c>
      <c r="B45" s="184" t="s">
        <v>645</v>
      </c>
      <c r="C45" s="285" t="s">
        <v>648</v>
      </c>
      <c r="D45" s="262"/>
      <c r="E45" s="209"/>
      <c r="F45" s="208"/>
      <c r="G45" s="208" t="s">
        <v>19</v>
      </c>
      <c r="H45" s="210"/>
      <c r="I45" s="211">
        <v>1.1299999999999999</v>
      </c>
      <c r="J45" s="241"/>
      <c r="K45" s="236">
        <f t="shared" si="14"/>
        <v>1.1299999999999999</v>
      </c>
      <c r="L45" s="236">
        <v>0</v>
      </c>
      <c r="M45" s="236">
        <f t="shared" si="15"/>
        <v>1.1299999999999999</v>
      </c>
      <c r="N45" s="237"/>
      <c r="O45" s="237"/>
      <c r="P45" s="237">
        <f t="shared" si="8"/>
        <v>25400.850000000002</v>
      </c>
      <c r="Q45" s="242"/>
    </row>
    <row r="46" spans="1:17" ht="14" x14ac:dyDescent="0.2">
      <c r="A46" s="183">
        <v>45823</v>
      </c>
      <c r="B46" s="184" t="s">
        <v>646</v>
      </c>
      <c r="C46" s="285" t="s">
        <v>649</v>
      </c>
      <c r="D46" s="262"/>
      <c r="E46" s="209"/>
      <c r="F46" s="208"/>
      <c r="G46" s="208" t="s">
        <v>17</v>
      </c>
      <c r="H46" s="210"/>
      <c r="I46" s="211">
        <v>31.5</v>
      </c>
      <c r="J46" s="241"/>
      <c r="K46" s="236">
        <f t="shared" si="14"/>
        <v>31.5</v>
      </c>
      <c r="L46" s="236">
        <v>0</v>
      </c>
      <c r="M46" s="236">
        <f t="shared" si="15"/>
        <v>31.5</v>
      </c>
      <c r="N46" s="237"/>
      <c r="O46" s="237"/>
      <c r="P46" s="237">
        <f t="shared" si="8"/>
        <v>25400.850000000002</v>
      </c>
      <c r="Q46" s="242"/>
    </row>
    <row r="47" spans="1:17" ht="14" x14ac:dyDescent="0.2">
      <c r="A47" s="183">
        <v>45823</v>
      </c>
      <c r="B47" s="184" t="s">
        <v>645</v>
      </c>
      <c r="C47" s="285" t="s">
        <v>649</v>
      </c>
      <c r="D47" s="262"/>
      <c r="E47" s="209"/>
      <c r="F47" s="208"/>
      <c r="G47" s="208" t="s">
        <v>17</v>
      </c>
      <c r="H47" s="210"/>
      <c r="I47" s="211">
        <v>126.06</v>
      </c>
      <c r="J47" s="241"/>
      <c r="K47" s="236">
        <f t="shared" si="14"/>
        <v>126.06</v>
      </c>
      <c r="L47" s="236">
        <v>0</v>
      </c>
      <c r="M47" s="236">
        <f t="shared" si="15"/>
        <v>126.06</v>
      </c>
      <c r="N47" s="237"/>
      <c r="O47" s="237"/>
      <c r="P47" s="237">
        <f t="shared" si="8"/>
        <v>25400.850000000002</v>
      </c>
      <c r="Q47" s="242"/>
    </row>
    <row r="48" spans="1:17" ht="14" x14ac:dyDescent="0.2">
      <c r="A48" s="183">
        <v>45825</v>
      </c>
      <c r="B48" s="184" t="s">
        <v>577</v>
      </c>
      <c r="C48" s="285" t="s">
        <v>650</v>
      </c>
      <c r="D48" s="262">
        <v>16540</v>
      </c>
      <c r="E48" s="209" t="s">
        <v>106</v>
      </c>
      <c r="F48" s="11" t="s">
        <v>844</v>
      </c>
      <c r="G48" s="208" t="s">
        <v>50</v>
      </c>
      <c r="H48" s="210"/>
      <c r="I48" s="211">
        <v>597.11</v>
      </c>
      <c r="J48" s="241"/>
      <c r="K48" s="236">
        <f t="shared" si="14"/>
        <v>597.11</v>
      </c>
      <c r="L48" s="236">
        <v>99.51</v>
      </c>
      <c r="M48" s="236">
        <f>K48-L48</f>
        <v>497.6</v>
      </c>
      <c r="N48" s="237">
        <v>-597.11</v>
      </c>
      <c r="O48" s="237"/>
      <c r="P48" s="237">
        <f t="shared" si="8"/>
        <v>24803.74</v>
      </c>
      <c r="Q48" s="242"/>
    </row>
    <row r="49" spans="1:17" ht="14" x14ac:dyDescent="0.2">
      <c r="A49" s="183">
        <v>45825</v>
      </c>
      <c r="B49" s="184" t="s">
        <v>95</v>
      </c>
      <c r="C49" s="285" t="s">
        <v>651</v>
      </c>
      <c r="D49" s="262">
        <v>1048335</v>
      </c>
      <c r="E49" s="209" t="s">
        <v>106</v>
      </c>
      <c r="F49" s="11" t="s">
        <v>844</v>
      </c>
      <c r="G49" s="208" t="s">
        <v>19</v>
      </c>
      <c r="H49" s="210"/>
      <c r="I49" s="211">
        <v>7.99</v>
      </c>
      <c r="J49" s="241"/>
      <c r="K49" s="236">
        <f t="shared" si="12"/>
        <v>7.99</v>
      </c>
      <c r="L49" s="236">
        <v>1.33</v>
      </c>
      <c r="M49" s="236">
        <f t="shared" si="13"/>
        <v>6.66</v>
      </c>
      <c r="N49" s="237">
        <v>-7.99</v>
      </c>
      <c r="O49" s="237"/>
      <c r="P49" s="237">
        <f t="shared" si="8"/>
        <v>24795.75</v>
      </c>
      <c r="Q49" s="214"/>
    </row>
    <row r="50" spans="1:17" ht="14" x14ac:dyDescent="0.2">
      <c r="A50" s="183">
        <v>45825</v>
      </c>
      <c r="B50" s="184" t="s">
        <v>652</v>
      </c>
      <c r="C50" s="285" t="s">
        <v>653</v>
      </c>
      <c r="D50" s="262">
        <v>242</v>
      </c>
      <c r="E50" s="209" t="s">
        <v>106</v>
      </c>
      <c r="F50" s="208"/>
      <c r="G50" s="208" t="s">
        <v>148</v>
      </c>
      <c r="H50" s="210"/>
      <c r="I50" s="211">
        <v>1080</v>
      </c>
      <c r="J50" s="241"/>
      <c r="K50" s="236">
        <f t="shared" si="12"/>
        <v>1080</v>
      </c>
      <c r="L50" s="236">
        <v>0</v>
      </c>
      <c r="M50" s="236">
        <f t="shared" si="13"/>
        <v>1080</v>
      </c>
      <c r="N50" s="237">
        <v>-1080</v>
      </c>
      <c r="O50" s="237"/>
      <c r="P50" s="237">
        <f t="shared" si="8"/>
        <v>23715.75</v>
      </c>
      <c r="Q50" s="214"/>
    </row>
    <row r="51" spans="1:17" ht="14" x14ac:dyDescent="0.2">
      <c r="A51" s="183">
        <v>45825</v>
      </c>
      <c r="B51" s="184" t="s">
        <v>255</v>
      </c>
      <c r="C51" s="285" t="s">
        <v>654</v>
      </c>
      <c r="D51" s="262" t="s">
        <v>249</v>
      </c>
      <c r="E51" s="209" t="s">
        <v>106</v>
      </c>
      <c r="F51" s="208"/>
      <c r="G51" s="208" t="s">
        <v>61</v>
      </c>
      <c r="H51" s="210"/>
      <c r="I51" s="211">
        <v>30.97</v>
      </c>
      <c r="J51" s="241"/>
      <c r="K51" s="236">
        <f t="shared" si="12"/>
        <v>30.97</v>
      </c>
      <c r="L51" s="236">
        <v>0</v>
      </c>
      <c r="M51" s="236">
        <f t="shared" si="13"/>
        <v>30.97</v>
      </c>
      <c r="N51" s="237">
        <v>-30.97</v>
      </c>
      <c r="O51" s="237"/>
      <c r="P51" s="237">
        <f t="shared" si="8"/>
        <v>23684.78</v>
      </c>
      <c r="Q51" s="214"/>
    </row>
    <row r="52" spans="1:17" ht="14" x14ac:dyDescent="0.2">
      <c r="A52" s="183">
        <v>45825</v>
      </c>
      <c r="B52" s="184" t="s">
        <v>658</v>
      </c>
      <c r="C52" s="285" t="s">
        <v>656</v>
      </c>
      <c r="D52" s="262" t="s">
        <v>657</v>
      </c>
      <c r="E52" s="209" t="s">
        <v>106</v>
      </c>
      <c r="F52" s="208"/>
      <c r="G52" s="208" t="s">
        <v>156</v>
      </c>
      <c r="H52" s="210"/>
      <c r="I52" s="211">
        <v>120</v>
      </c>
      <c r="J52" s="241"/>
      <c r="K52" s="236">
        <f t="shared" si="12"/>
        <v>120</v>
      </c>
      <c r="L52" s="236">
        <v>0</v>
      </c>
      <c r="M52" s="236">
        <f t="shared" si="13"/>
        <v>120</v>
      </c>
      <c r="N52" s="237">
        <v>-120</v>
      </c>
      <c r="O52" s="237"/>
      <c r="P52" s="237">
        <f t="shared" si="8"/>
        <v>23564.78</v>
      </c>
      <c r="Q52" s="214"/>
    </row>
    <row r="53" spans="1:17" ht="14" x14ac:dyDescent="0.2">
      <c r="A53" s="183">
        <v>45825</v>
      </c>
      <c r="B53" s="184" t="s">
        <v>545</v>
      </c>
      <c r="C53" s="285" t="s">
        <v>617</v>
      </c>
      <c r="D53" s="262">
        <v>457144544</v>
      </c>
      <c r="E53" s="209" t="s">
        <v>106</v>
      </c>
      <c r="F53" s="208"/>
      <c r="G53" s="208" t="s">
        <v>27</v>
      </c>
      <c r="H53" s="210"/>
      <c r="I53" s="211">
        <v>4.25</v>
      </c>
      <c r="J53" s="241"/>
      <c r="K53" s="236">
        <f t="shared" si="12"/>
        <v>4.25</v>
      </c>
      <c r="L53" s="236">
        <v>0</v>
      </c>
      <c r="M53" s="236">
        <f t="shared" si="13"/>
        <v>4.25</v>
      </c>
      <c r="N53" s="237">
        <v>-4.25</v>
      </c>
      <c r="O53" s="237"/>
      <c r="P53" s="237">
        <f t="shared" si="8"/>
        <v>23560.53</v>
      </c>
      <c r="Q53" s="214"/>
    </row>
    <row r="54" spans="1:17" ht="14" x14ac:dyDescent="0.2">
      <c r="A54" s="183">
        <v>45825</v>
      </c>
      <c r="B54" s="184" t="s">
        <v>659</v>
      </c>
      <c r="C54" s="285" t="s">
        <v>660</v>
      </c>
      <c r="D54" s="262">
        <v>6966</v>
      </c>
      <c r="E54" s="209" t="s">
        <v>106</v>
      </c>
      <c r="F54" s="11" t="s">
        <v>844</v>
      </c>
      <c r="G54" s="208" t="s">
        <v>148</v>
      </c>
      <c r="H54" s="210"/>
      <c r="I54" s="211">
        <v>399</v>
      </c>
      <c r="J54" s="241"/>
      <c r="K54" s="236">
        <f t="shared" si="12"/>
        <v>399</v>
      </c>
      <c r="L54" s="236">
        <v>66.5</v>
      </c>
      <c r="M54" s="236">
        <f t="shared" si="13"/>
        <v>332.5</v>
      </c>
      <c r="N54" s="237">
        <v>-399</v>
      </c>
      <c r="O54" s="237"/>
      <c r="P54" s="237">
        <f t="shared" si="8"/>
        <v>23161.53</v>
      </c>
    </row>
    <row r="55" spans="1:17" ht="14" x14ac:dyDescent="0.2">
      <c r="A55" s="183">
        <v>45853</v>
      </c>
      <c r="B55" s="208" t="s">
        <v>662</v>
      </c>
      <c r="C55" s="285" t="s">
        <v>665</v>
      </c>
      <c r="D55" s="262"/>
      <c r="E55" s="239"/>
      <c r="F55" s="240"/>
      <c r="G55" s="208" t="s">
        <v>13</v>
      </c>
      <c r="H55" s="210"/>
      <c r="I55" s="211">
        <v>73.5</v>
      </c>
      <c r="J55" s="241"/>
      <c r="K55" s="236">
        <f t="shared" ref="K55" si="16">I55</f>
        <v>73.5</v>
      </c>
      <c r="L55" s="236">
        <v>0</v>
      </c>
      <c r="M55" s="236">
        <f t="shared" ref="M55" si="17">K55-L55</f>
        <v>73.5</v>
      </c>
      <c r="N55" s="237">
        <v>-105</v>
      </c>
      <c r="O55" s="237"/>
      <c r="P55" s="237">
        <f t="shared" si="8"/>
        <v>23056.53</v>
      </c>
      <c r="Q55" s="242"/>
    </row>
    <row r="56" spans="1:17" ht="14" x14ac:dyDescent="0.2">
      <c r="A56" s="183">
        <v>45853</v>
      </c>
      <c r="B56" s="208" t="s">
        <v>663</v>
      </c>
      <c r="C56" s="285" t="s">
        <v>665</v>
      </c>
      <c r="D56" s="262"/>
      <c r="E56" s="239"/>
      <c r="F56" s="240"/>
      <c r="G56" s="208" t="s">
        <v>13</v>
      </c>
      <c r="H56" s="210"/>
      <c r="I56" s="211">
        <v>294.14</v>
      </c>
      <c r="J56" s="241"/>
      <c r="K56" s="236">
        <f t="shared" ref="K56:K76" si="18">I56</f>
        <v>294.14</v>
      </c>
      <c r="L56" s="236">
        <v>0</v>
      </c>
      <c r="M56" s="236">
        <f t="shared" ref="M56:M69" si="19">K56-L56</f>
        <v>294.14</v>
      </c>
      <c r="N56" s="237">
        <v>-422.45</v>
      </c>
      <c r="O56" s="237"/>
      <c r="P56" s="237">
        <f t="shared" si="8"/>
        <v>22634.079999999998</v>
      </c>
      <c r="Q56" s="242"/>
    </row>
    <row r="57" spans="1:17" ht="14" x14ac:dyDescent="0.2">
      <c r="A57" s="183">
        <v>45853</v>
      </c>
      <c r="B57" s="184" t="s">
        <v>663</v>
      </c>
      <c r="C57" s="285" t="s">
        <v>666</v>
      </c>
      <c r="D57" s="262"/>
      <c r="E57" s="209"/>
      <c r="F57" s="208"/>
      <c r="G57" s="208" t="s">
        <v>19</v>
      </c>
      <c r="H57" s="210"/>
      <c r="I57" s="211">
        <v>2.25</v>
      </c>
      <c r="J57" s="241"/>
      <c r="K57" s="236">
        <f t="shared" si="18"/>
        <v>2.25</v>
      </c>
      <c r="L57" s="236">
        <v>0</v>
      </c>
      <c r="M57" s="236">
        <f t="shared" si="19"/>
        <v>2.25</v>
      </c>
      <c r="N57" s="237"/>
      <c r="O57" s="237"/>
      <c r="P57" s="237">
        <f t="shared" si="8"/>
        <v>22634.079999999998</v>
      </c>
      <c r="Q57" s="242"/>
    </row>
    <row r="58" spans="1:17" ht="14" x14ac:dyDescent="0.2">
      <c r="A58" s="183">
        <v>45853</v>
      </c>
      <c r="B58" s="184" t="s">
        <v>664</v>
      </c>
      <c r="C58" s="285" t="s">
        <v>667</v>
      </c>
      <c r="D58" s="262"/>
      <c r="E58" s="209"/>
      <c r="F58" s="208"/>
      <c r="G58" s="208" t="s">
        <v>17</v>
      </c>
      <c r="H58" s="210"/>
      <c r="I58" s="211">
        <v>31.5</v>
      </c>
      <c r="J58" s="241"/>
      <c r="K58" s="236">
        <f t="shared" si="18"/>
        <v>31.5</v>
      </c>
      <c r="L58" s="236">
        <v>0</v>
      </c>
      <c r="M58" s="236">
        <f t="shared" si="19"/>
        <v>31.5</v>
      </c>
      <c r="N58" s="237"/>
      <c r="O58" s="237"/>
      <c r="P58" s="237">
        <f t="shared" si="8"/>
        <v>22634.079999999998</v>
      </c>
      <c r="Q58" s="242"/>
    </row>
    <row r="59" spans="1:17" ht="14" x14ac:dyDescent="0.2">
      <c r="A59" s="183">
        <v>45853</v>
      </c>
      <c r="B59" s="184" t="s">
        <v>663</v>
      </c>
      <c r="C59" s="285" t="s">
        <v>667</v>
      </c>
      <c r="D59" s="262"/>
      <c r="E59" s="209"/>
      <c r="F59" s="208"/>
      <c r="G59" s="208" t="s">
        <v>17</v>
      </c>
      <c r="H59" s="210"/>
      <c r="I59" s="211">
        <v>126.06</v>
      </c>
      <c r="J59" s="241"/>
      <c r="K59" s="236">
        <f t="shared" si="18"/>
        <v>126.06</v>
      </c>
      <c r="L59" s="236">
        <v>0</v>
      </c>
      <c r="M59" s="236">
        <f t="shared" si="19"/>
        <v>126.06</v>
      </c>
      <c r="N59" s="237"/>
      <c r="O59" s="237"/>
      <c r="P59" s="237">
        <f t="shared" si="8"/>
        <v>22634.079999999998</v>
      </c>
      <c r="Q59" s="242"/>
    </row>
    <row r="60" spans="1:17" ht="14" x14ac:dyDescent="0.2">
      <c r="A60" s="183">
        <v>45852</v>
      </c>
      <c r="B60" s="184" t="s">
        <v>577</v>
      </c>
      <c r="C60" s="285" t="s">
        <v>668</v>
      </c>
      <c r="D60" s="262">
        <v>16595</v>
      </c>
      <c r="E60" s="209" t="s">
        <v>106</v>
      </c>
      <c r="F60" s="11" t="s">
        <v>844</v>
      </c>
      <c r="G60" s="208" t="s">
        <v>50</v>
      </c>
      <c r="H60" s="210"/>
      <c r="I60" s="211">
        <v>1194.25</v>
      </c>
      <c r="J60" s="241"/>
      <c r="K60" s="236">
        <f t="shared" si="18"/>
        <v>1194.25</v>
      </c>
      <c r="L60" s="236">
        <v>199.05</v>
      </c>
      <c r="M60" s="236">
        <f t="shared" si="19"/>
        <v>995.2</v>
      </c>
      <c r="N60" s="237">
        <v>-1194.25</v>
      </c>
      <c r="O60" s="237"/>
      <c r="P60" s="237">
        <f t="shared" si="8"/>
        <v>21439.829999999998</v>
      </c>
      <c r="Q60" s="242"/>
    </row>
    <row r="61" spans="1:17" ht="14" x14ac:dyDescent="0.2">
      <c r="A61" s="183">
        <v>45852</v>
      </c>
      <c r="B61" s="184" t="s">
        <v>669</v>
      </c>
      <c r="C61" s="285" t="s">
        <v>670</v>
      </c>
      <c r="D61" s="262">
        <v>1287417</v>
      </c>
      <c r="E61" s="209" t="s">
        <v>106</v>
      </c>
      <c r="F61" s="11" t="s">
        <v>844</v>
      </c>
      <c r="G61" s="208" t="s">
        <v>61</v>
      </c>
      <c r="H61" s="210"/>
      <c r="I61" s="211">
        <v>75.180000000000007</v>
      </c>
      <c r="J61" s="241"/>
      <c r="K61" s="236">
        <f t="shared" si="18"/>
        <v>75.180000000000007</v>
      </c>
      <c r="L61" s="236">
        <v>12.53</v>
      </c>
      <c r="M61" s="236">
        <f t="shared" si="19"/>
        <v>62.650000000000006</v>
      </c>
      <c r="N61" s="237">
        <v>-75.180000000000007</v>
      </c>
      <c r="O61" s="237"/>
      <c r="P61" s="237">
        <f t="shared" si="8"/>
        <v>21364.649999999998</v>
      </c>
      <c r="Q61" s="242"/>
    </row>
    <row r="62" spans="1:17" ht="14" x14ac:dyDescent="0.2">
      <c r="A62" s="183">
        <v>45859</v>
      </c>
      <c r="B62" s="184" t="s">
        <v>545</v>
      </c>
      <c r="C62" s="285" t="s">
        <v>617</v>
      </c>
      <c r="D62" s="262">
        <v>459616451</v>
      </c>
      <c r="E62" s="209" t="s">
        <v>106</v>
      </c>
      <c r="F62" s="208"/>
      <c r="G62" s="208" t="s">
        <v>27</v>
      </c>
      <c r="H62" s="210"/>
      <c r="I62" s="211">
        <v>4.25</v>
      </c>
      <c r="J62" s="241"/>
      <c r="K62" s="236">
        <f t="shared" si="18"/>
        <v>4.25</v>
      </c>
      <c r="L62" s="236">
        <v>0</v>
      </c>
      <c r="M62" s="236">
        <f t="shared" si="19"/>
        <v>4.25</v>
      </c>
      <c r="N62" s="237">
        <v>-4.25</v>
      </c>
      <c r="O62" s="237"/>
      <c r="P62" s="237">
        <f t="shared" si="8"/>
        <v>21360.399999999998</v>
      </c>
      <c r="Q62" s="242"/>
    </row>
    <row r="63" spans="1:17" ht="28" x14ac:dyDescent="0.2">
      <c r="A63" s="183">
        <v>45861</v>
      </c>
      <c r="B63" s="184" t="s">
        <v>96</v>
      </c>
      <c r="C63" s="286" t="s">
        <v>671</v>
      </c>
      <c r="D63" s="262">
        <v>8357291</v>
      </c>
      <c r="E63" s="209" t="s">
        <v>106</v>
      </c>
      <c r="F63" s="208"/>
      <c r="G63" s="208" t="s">
        <v>48</v>
      </c>
      <c r="H63" s="210"/>
      <c r="I63" s="211">
        <v>527.22</v>
      </c>
      <c r="J63" s="241"/>
      <c r="K63" s="236">
        <f t="shared" si="18"/>
        <v>527.22</v>
      </c>
      <c r="L63" s="236">
        <v>0</v>
      </c>
      <c r="M63" s="236">
        <f t="shared" si="19"/>
        <v>527.22</v>
      </c>
      <c r="N63" s="237">
        <v>-527.22</v>
      </c>
      <c r="O63" s="237"/>
      <c r="P63" s="237">
        <f t="shared" si="8"/>
        <v>20833.179999999997</v>
      </c>
      <c r="Q63" s="242"/>
    </row>
    <row r="64" spans="1:17" ht="14" x14ac:dyDescent="0.2">
      <c r="A64" s="183">
        <v>45862</v>
      </c>
      <c r="B64" s="184" t="s">
        <v>672</v>
      </c>
      <c r="C64" s="285" t="s">
        <v>673</v>
      </c>
      <c r="D64" s="262" t="s">
        <v>674</v>
      </c>
      <c r="E64" s="209" t="s">
        <v>106</v>
      </c>
      <c r="F64" s="11" t="s">
        <v>844</v>
      </c>
      <c r="G64" s="208" t="s">
        <v>25</v>
      </c>
      <c r="H64" s="210"/>
      <c r="I64" s="211">
        <v>252</v>
      </c>
      <c r="J64" s="241"/>
      <c r="K64" s="236">
        <f t="shared" si="18"/>
        <v>252</v>
      </c>
      <c r="L64" s="236">
        <v>42</v>
      </c>
      <c r="M64" s="236">
        <f t="shared" si="19"/>
        <v>210</v>
      </c>
      <c r="N64" s="237">
        <v>-252</v>
      </c>
      <c r="O64" s="237"/>
      <c r="P64" s="237">
        <f t="shared" si="8"/>
        <v>20581.179999999997</v>
      </c>
      <c r="Q64" s="242"/>
    </row>
    <row r="65" spans="1:17" ht="14" x14ac:dyDescent="0.2">
      <c r="A65" s="183">
        <v>45862</v>
      </c>
      <c r="B65" s="184" t="s">
        <v>675</v>
      </c>
      <c r="C65" s="285" t="s">
        <v>676</v>
      </c>
      <c r="D65" s="262">
        <v>56877</v>
      </c>
      <c r="E65" s="209" t="s">
        <v>106</v>
      </c>
      <c r="F65" s="11" t="s">
        <v>844</v>
      </c>
      <c r="G65" s="208" t="s">
        <v>48</v>
      </c>
      <c r="H65" s="210"/>
      <c r="I65" s="211">
        <v>139.24</v>
      </c>
      <c r="J65" s="241"/>
      <c r="K65" s="236">
        <f t="shared" si="18"/>
        <v>139.24</v>
      </c>
      <c r="L65" s="236">
        <v>23.2</v>
      </c>
      <c r="M65" s="236">
        <f t="shared" si="19"/>
        <v>116.04</v>
      </c>
      <c r="N65" s="237">
        <v>-139.24</v>
      </c>
      <c r="O65" s="237"/>
      <c r="P65" s="237">
        <f t="shared" si="8"/>
        <v>20441.939999999995</v>
      </c>
      <c r="Q65" s="242"/>
    </row>
    <row r="66" spans="1:17" ht="14" x14ac:dyDescent="0.2">
      <c r="A66" s="183">
        <v>45870</v>
      </c>
      <c r="B66" s="208" t="s">
        <v>702</v>
      </c>
      <c r="C66" s="285" t="s">
        <v>677</v>
      </c>
      <c r="D66" s="262"/>
      <c r="E66" s="239"/>
      <c r="F66" s="240"/>
      <c r="G66" s="208" t="s">
        <v>13</v>
      </c>
      <c r="H66" s="210"/>
      <c r="I66" s="211">
        <v>73.5</v>
      </c>
      <c r="J66" s="241"/>
      <c r="K66" s="236">
        <f t="shared" si="18"/>
        <v>73.5</v>
      </c>
      <c r="L66" s="236">
        <v>0</v>
      </c>
      <c r="M66" s="236">
        <f t="shared" si="19"/>
        <v>73.5</v>
      </c>
      <c r="N66" s="237">
        <v>-105</v>
      </c>
      <c r="O66" s="237"/>
      <c r="P66" s="237">
        <f t="shared" si="8"/>
        <v>20336.939999999995</v>
      </c>
      <c r="Q66" s="242"/>
    </row>
    <row r="67" spans="1:17" ht="14" x14ac:dyDescent="0.2">
      <c r="A67" s="183">
        <v>45870</v>
      </c>
      <c r="B67" s="208" t="s">
        <v>703</v>
      </c>
      <c r="C67" s="285" t="s">
        <v>677</v>
      </c>
      <c r="D67" s="262"/>
      <c r="E67" s="239"/>
      <c r="F67" s="240"/>
      <c r="G67" s="208" t="s">
        <v>13</v>
      </c>
      <c r="H67" s="210"/>
      <c r="I67" s="211">
        <v>294.14</v>
      </c>
      <c r="J67" s="241"/>
      <c r="K67" s="236">
        <f t="shared" si="18"/>
        <v>294.14</v>
      </c>
      <c r="L67" s="236">
        <v>0</v>
      </c>
      <c r="M67" s="236">
        <f t="shared" si="19"/>
        <v>294.14</v>
      </c>
      <c r="N67" s="237">
        <v>-422.45</v>
      </c>
      <c r="O67" s="237"/>
      <c r="P67" s="237">
        <f t="shared" si="8"/>
        <v>19914.489999999994</v>
      </c>
      <c r="Q67" s="242"/>
    </row>
    <row r="68" spans="1:17" ht="14" x14ac:dyDescent="0.2">
      <c r="A68" s="183">
        <v>45870</v>
      </c>
      <c r="B68" s="184" t="s">
        <v>703</v>
      </c>
      <c r="C68" s="285" t="s">
        <v>678</v>
      </c>
      <c r="D68" s="262"/>
      <c r="E68" s="209"/>
      <c r="F68" s="208"/>
      <c r="G68" s="208" t="s">
        <v>19</v>
      </c>
      <c r="H68" s="210"/>
      <c r="I68" s="211">
        <v>2.25</v>
      </c>
      <c r="J68" s="241"/>
      <c r="K68" s="236">
        <f t="shared" si="18"/>
        <v>2.25</v>
      </c>
      <c r="L68" s="236">
        <v>0</v>
      </c>
      <c r="M68" s="236">
        <f t="shared" si="19"/>
        <v>2.25</v>
      </c>
      <c r="N68" s="237"/>
      <c r="O68" s="237"/>
      <c r="P68" s="237">
        <f t="shared" si="8"/>
        <v>19914.489999999994</v>
      </c>
      <c r="Q68" s="242"/>
    </row>
    <row r="69" spans="1:17" ht="14" x14ac:dyDescent="0.2">
      <c r="A69" s="183">
        <v>45870</v>
      </c>
      <c r="B69" s="184" t="s">
        <v>704</v>
      </c>
      <c r="C69" s="285" t="s">
        <v>679</v>
      </c>
      <c r="D69" s="262"/>
      <c r="E69" s="209"/>
      <c r="F69" s="208"/>
      <c r="G69" s="208" t="s">
        <v>17</v>
      </c>
      <c r="H69" s="210"/>
      <c r="I69" s="211">
        <v>31.5</v>
      </c>
      <c r="J69" s="241"/>
      <c r="K69" s="236">
        <f t="shared" si="18"/>
        <v>31.5</v>
      </c>
      <c r="L69" s="236">
        <v>0</v>
      </c>
      <c r="M69" s="236">
        <f t="shared" si="19"/>
        <v>31.5</v>
      </c>
      <c r="N69" s="237"/>
      <c r="O69" s="237"/>
      <c r="P69" s="237">
        <f t="shared" si="8"/>
        <v>19914.489999999994</v>
      </c>
      <c r="Q69" s="242"/>
    </row>
    <row r="70" spans="1:17" ht="14" x14ac:dyDescent="0.2">
      <c r="A70" s="183">
        <v>45870</v>
      </c>
      <c r="B70" s="184" t="s">
        <v>703</v>
      </c>
      <c r="C70" s="285" t="s">
        <v>679</v>
      </c>
      <c r="D70" s="262"/>
      <c r="E70" s="209"/>
      <c r="F70" s="208"/>
      <c r="G70" s="208" t="s">
        <v>17</v>
      </c>
      <c r="H70" s="210"/>
      <c r="I70" s="211">
        <v>126.06</v>
      </c>
      <c r="J70" s="241"/>
      <c r="K70" s="236">
        <f t="shared" si="18"/>
        <v>126.06</v>
      </c>
      <c r="L70" s="236">
        <v>0</v>
      </c>
      <c r="M70" s="236">
        <f t="shared" si="13"/>
        <v>126.06</v>
      </c>
      <c r="N70" s="237"/>
      <c r="O70" s="237"/>
      <c r="P70" s="237">
        <f t="shared" si="8"/>
        <v>19914.489999999994</v>
      </c>
      <c r="Q70" s="214"/>
    </row>
    <row r="71" spans="1:17" ht="28" x14ac:dyDescent="0.2">
      <c r="A71" s="183">
        <v>45870</v>
      </c>
      <c r="B71" s="184" t="s">
        <v>95</v>
      </c>
      <c r="C71" s="285" t="s">
        <v>680</v>
      </c>
      <c r="D71" s="262" t="s">
        <v>682</v>
      </c>
      <c r="E71" s="209" t="s">
        <v>106</v>
      </c>
      <c r="F71" s="11" t="s">
        <v>844</v>
      </c>
      <c r="G71" s="208" t="s">
        <v>61</v>
      </c>
      <c r="H71" s="210"/>
      <c r="I71" s="211">
        <v>19.489999999999998</v>
      </c>
      <c r="J71" s="241"/>
      <c r="K71" s="236">
        <f t="shared" si="18"/>
        <v>19.489999999999998</v>
      </c>
      <c r="L71" s="236">
        <v>3.25</v>
      </c>
      <c r="M71" s="236">
        <f t="shared" ref="M71:M75" si="20">K71-L71</f>
        <v>16.239999999999998</v>
      </c>
      <c r="N71" s="237">
        <v>-37.85</v>
      </c>
      <c r="O71" s="237"/>
      <c r="P71" s="237">
        <f t="shared" si="8"/>
        <v>19876.639999999996</v>
      </c>
      <c r="Q71" s="214"/>
    </row>
    <row r="72" spans="1:17" ht="28" x14ac:dyDescent="0.2">
      <c r="A72" s="183">
        <v>45870</v>
      </c>
      <c r="B72" s="184" t="s">
        <v>95</v>
      </c>
      <c r="C72" s="285" t="s">
        <v>681</v>
      </c>
      <c r="D72" s="262" t="s">
        <v>683</v>
      </c>
      <c r="E72" s="209" t="s">
        <v>106</v>
      </c>
      <c r="F72" s="11" t="s">
        <v>844</v>
      </c>
      <c r="G72" s="208" t="s">
        <v>61</v>
      </c>
      <c r="H72" s="210"/>
      <c r="I72" s="211">
        <v>18.36</v>
      </c>
      <c r="J72" s="241"/>
      <c r="K72" s="236">
        <f t="shared" si="18"/>
        <v>18.36</v>
      </c>
      <c r="L72" s="236">
        <v>3.08</v>
      </c>
      <c r="M72" s="236">
        <f t="shared" si="20"/>
        <v>15.28</v>
      </c>
      <c r="N72" s="237"/>
      <c r="O72" s="237"/>
      <c r="P72" s="237">
        <f t="shared" si="8"/>
        <v>19876.639999999996</v>
      </c>
      <c r="Q72" s="214"/>
    </row>
    <row r="73" spans="1:17" ht="14" x14ac:dyDescent="0.2">
      <c r="A73" s="183">
        <v>45870</v>
      </c>
      <c r="B73" s="184" t="s">
        <v>580</v>
      </c>
      <c r="C73" s="285" t="s">
        <v>684</v>
      </c>
      <c r="D73" s="262" t="s">
        <v>685</v>
      </c>
      <c r="E73" s="209" t="s">
        <v>106</v>
      </c>
      <c r="F73" s="11" t="s">
        <v>844</v>
      </c>
      <c r="G73" s="208" t="s">
        <v>98</v>
      </c>
      <c r="H73" s="210"/>
      <c r="I73" s="211">
        <v>356.1</v>
      </c>
      <c r="J73" s="241"/>
      <c r="K73" s="236">
        <f t="shared" si="18"/>
        <v>356.1</v>
      </c>
      <c r="L73" s="236">
        <v>59.35</v>
      </c>
      <c r="M73" s="236">
        <f t="shared" si="20"/>
        <v>296.75</v>
      </c>
      <c r="N73" s="237">
        <v>-356.1</v>
      </c>
      <c r="O73" s="237"/>
      <c r="P73" s="237">
        <f t="shared" si="8"/>
        <v>19520.539999999997</v>
      </c>
      <c r="Q73" s="214"/>
    </row>
    <row r="74" spans="1:17" ht="28" x14ac:dyDescent="0.2">
      <c r="A74" s="183">
        <v>45873</v>
      </c>
      <c r="B74" s="184" t="s">
        <v>686</v>
      </c>
      <c r="C74" s="285" t="s">
        <v>687</v>
      </c>
      <c r="D74" s="262">
        <v>4650</v>
      </c>
      <c r="E74" s="209" t="s">
        <v>106</v>
      </c>
      <c r="F74" s="11" t="s">
        <v>844</v>
      </c>
      <c r="G74" s="208" t="s">
        <v>61</v>
      </c>
      <c r="H74" s="210"/>
      <c r="I74" s="211">
        <v>90</v>
      </c>
      <c r="J74" s="241"/>
      <c r="K74" s="236">
        <f t="shared" si="18"/>
        <v>90</v>
      </c>
      <c r="L74" s="236">
        <v>15</v>
      </c>
      <c r="M74" s="236">
        <f t="shared" si="20"/>
        <v>75</v>
      </c>
      <c r="N74" s="237">
        <v>-90</v>
      </c>
      <c r="O74" s="237"/>
      <c r="P74" s="237">
        <f t="shared" si="8"/>
        <v>19430.539999999997</v>
      </c>
      <c r="Q74" s="214"/>
    </row>
    <row r="75" spans="1:17" ht="28" x14ac:dyDescent="0.2">
      <c r="A75" s="183">
        <v>45875</v>
      </c>
      <c r="B75" s="184" t="s">
        <v>688</v>
      </c>
      <c r="C75" s="285" t="s">
        <v>689</v>
      </c>
      <c r="D75" s="262">
        <v>33806</v>
      </c>
      <c r="E75" s="209" t="s">
        <v>106</v>
      </c>
      <c r="F75" s="11" t="s">
        <v>844</v>
      </c>
      <c r="G75" s="208" t="s">
        <v>38</v>
      </c>
      <c r="H75" s="210"/>
      <c r="I75" s="211">
        <v>240</v>
      </c>
      <c r="J75" s="241"/>
      <c r="K75" s="236">
        <f t="shared" si="18"/>
        <v>240</v>
      </c>
      <c r="L75" s="236">
        <v>40</v>
      </c>
      <c r="M75" s="236">
        <f t="shared" si="20"/>
        <v>200</v>
      </c>
      <c r="N75" s="237">
        <v>-240</v>
      </c>
      <c r="O75" s="237"/>
      <c r="P75" s="237">
        <f t="shared" si="8"/>
        <v>19190.539999999997</v>
      </c>
      <c r="Q75" s="214"/>
    </row>
    <row r="76" spans="1:17" ht="14" x14ac:dyDescent="0.2">
      <c r="A76" s="183">
        <v>45888</v>
      </c>
      <c r="B76" s="184" t="s">
        <v>545</v>
      </c>
      <c r="C76" s="285" t="s">
        <v>617</v>
      </c>
      <c r="D76" s="262">
        <v>461903908</v>
      </c>
      <c r="E76" s="209" t="s">
        <v>106</v>
      </c>
      <c r="F76" s="208"/>
      <c r="G76" s="208" t="s">
        <v>27</v>
      </c>
      <c r="H76" s="210"/>
      <c r="I76" s="211">
        <v>4.25</v>
      </c>
      <c r="J76" s="241"/>
      <c r="K76" s="236">
        <f t="shared" si="18"/>
        <v>4.25</v>
      </c>
      <c r="L76" s="236">
        <v>0</v>
      </c>
      <c r="M76" s="236">
        <f t="shared" si="13"/>
        <v>4.25</v>
      </c>
      <c r="N76" s="237">
        <v>-4.25</v>
      </c>
      <c r="O76" s="237"/>
      <c r="P76" s="237">
        <f t="shared" si="8"/>
        <v>19186.289999999997</v>
      </c>
      <c r="Q76" s="214"/>
    </row>
    <row r="77" spans="1:17" ht="14" x14ac:dyDescent="0.2">
      <c r="A77" s="183">
        <v>45912</v>
      </c>
      <c r="B77" s="184" t="s">
        <v>119</v>
      </c>
      <c r="C77" s="285" t="s">
        <v>701</v>
      </c>
      <c r="D77" s="262" t="s">
        <v>239</v>
      </c>
      <c r="E77" s="209" t="s">
        <v>106</v>
      </c>
      <c r="F77" s="208"/>
      <c r="G77" s="208" t="s">
        <v>4</v>
      </c>
      <c r="H77" s="210">
        <v>13250</v>
      </c>
      <c r="I77" s="211"/>
      <c r="J77" s="241"/>
      <c r="K77" s="236">
        <f t="shared" ref="K77:K107" si="21">I77</f>
        <v>0</v>
      </c>
      <c r="L77" s="236">
        <v>0</v>
      </c>
      <c r="M77" s="236">
        <f t="shared" ref="M77:M107" si="22">K77-L77</f>
        <v>0</v>
      </c>
      <c r="N77" s="237">
        <v>13250</v>
      </c>
      <c r="O77" s="237"/>
      <c r="P77" s="237">
        <f t="shared" si="8"/>
        <v>32436.289999999997</v>
      </c>
      <c r="Q77" s="214"/>
    </row>
    <row r="78" spans="1:17" ht="14" x14ac:dyDescent="0.2">
      <c r="A78" s="183">
        <v>45915</v>
      </c>
      <c r="B78" s="208" t="s">
        <v>705</v>
      </c>
      <c r="C78" s="285" t="s">
        <v>707</v>
      </c>
      <c r="D78" s="262"/>
      <c r="E78" s="239"/>
      <c r="F78" s="240"/>
      <c r="G78" s="208" t="s">
        <v>13</v>
      </c>
      <c r="H78" s="210"/>
      <c r="I78" s="211">
        <v>73.64</v>
      </c>
      <c r="J78" s="241"/>
      <c r="K78" s="236">
        <f t="shared" si="21"/>
        <v>73.64</v>
      </c>
      <c r="L78" s="236">
        <v>0</v>
      </c>
      <c r="M78" s="236">
        <f t="shared" si="22"/>
        <v>73.64</v>
      </c>
      <c r="N78" s="237">
        <v>-73.64</v>
      </c>
      <c r="O78" s="237"/>
      <c r="P78" s="237">
        <f t="shared" si="8"/>
        <v>32362.649999999998</v>
      </c>
      <c r="Q78" s="214"/>
    </row>
    <row r="79" spans="1:17" ht="14" x14ac:dyDescent="0.2">
      <c r="A79" s="183">
        <v>45915</v>
      </c>
      <c r="B79" s="208" t="s">
        <v>706</v>
      </c>
      <c r="C79" s="285" t="s">
        <v>708</v>
      </c>
      <c r="D79" s="262"/>
      <c r="E79" s="239"/>
      <c r="F79" s="240"/>
      <c r="G79" s="208" t="s">
        <v>13</v>
      </c>
      <c r="H79" s="210"/>
      <c r="I79" s="211">
        <v>294</v>
      </c>
      <c r="J79" s="241"/>
      <c r="K79" s="236">
        <f t="shared" si="21"/>
        <v>294</v>
      </c>
      <c r="L79" s="236">
        <v>0</v>
      </c>
      <c r="M79" s="236">
        <f t="shared" si="22"/>
        <v>294</v>
      </c>
      <c r="N79" s="237">
        <v>-294</v>
      </c>
      <c r="O79" s="237"/>
      <c r="P79" s="237">
        <f t="shared" si="8"/>
        <v>32068.649999999998</v>
      </c>
      <c r="Q79" s="214"/>
    </row>
    <row r="80" spans="1:17" ht="14" x14ac:dyDescent="0.2">
      <c r="A80" s="183">
        <v>45915</v>
      </c>
      <c r="B80" s="184" t="s">
        <v>706</v>
      </c>
      <c r="C80" s="285" t="s">
        <v>709</v>
      </c>
      <c r="D80" s="262"/>
      <c r="E80" s="209"/>
      <c r="F80" s="208"/>
      <c r="G80" s="208" t="s">
        <v>19</v>
      </c>
      <c r="H80" s="210"/>
      <c r="I80" s="211">
        <v>0</v>
      </c>
      <c r="J80" s="241"/>
      <c r="K80" s="236">
        <f t="shared" si="21"/>
        <v>0</v>
      </c>
      <c r="L80" s="236">
        <v>0</v>
      </c>
      <c r="M80" s="236">
        <f t="shared" si="22"/>
        <v>0</v>
      </c>
      <c r="N80" s="237"/>
      <c r="O80" s="237"/>
      <c r="P80" s="237">
        <f t="shared" si="8"/>
        <v>32068.649999999998</v>
      </c>
      <c r="Q80" s="214"/>
    </row>
    <row r="81" spans="1:17" ht="14" x14ac:dyDescent="0.2">
      <c r="A81" s="183">
        <v>45915</v>
      </c>
      <c r="B81" s="184" t="s">
        <v>705</v>
      </c>
      <c r="C81" s="285" t="s">
        <v>710</v>
      </c>
      <c r="D81" s="262"/>
      <c r="E81" s="209"/>
      <c r="F81" s="208"/>
      <c r="G81" s="208" t="s">
        <v>17</v>
      </c>
      <c r="H81" s="210"/>
      <c r="I81" s="211">
        <v>31.56</v>
      </c>
      <c r="J81" s="241"/>
      <c r="K81" s="236">
        <f t="shared" si="21"/>
        <v>31.56</v>
      </c>
      <c r="L81" s="236">
        <v>0</v>
      </c>
      <c r="M81" s="236">
        <f t="shared" si="22"/>
        <v>31.56</v>
      </c>
      <c r="N81" s="237">
        <v>-31.56</v>
      </c>
      <c r="O81" s="237"/>
      <c r="P81" s="237">
        <f t="shared" si="8"/>
        <v>32037.089999999997</v>
      </c>
      <c r="Q81" s="214"/>
    </row>
    <row r="82" spans="1:17" ht="14" x14ac:dyDescent="0.2">
      <c r="A82" s="183">
        <v>45915</v>
      </c>
      <c r="B82" s="184" t="s">
        <v>706</v>
      </c>
      <c r="C82" s="285" t="s">
        <v>710</v>
      </c>
      <c r="D82" s="262"/>
      <c r="E82" s="209"/>
      <c r="F82" s="208"/>
      <c r="G82" s="208" t="s">
        <v>17</v>
      </c>
      <c r="H82" s="210"/>
      <c r="I82" s="211">
        <v>126</v>
      </c>
      <c r="J82" s="241"/>
      <c r="K82" s="236">
        <f t="shared" si="21"/>
        <v>126</v>
      </c>
      <c r="L82" s="236">
        <v>0</v>
      </c>
      <c r="M82" s="236">
        <f t="shared" si="22"/>
        <v>126</v>
      </c>
      <c r="N82" s="237">
        <v>-126</v>
      </c>
      <c r="O82" s="237"/>
      <c r="P82" s="237">
        <f t="shared" si="8"/>
        <v>31911.089999999997</v>
      </c>
      <c r="Q82" s="214"/>
    </row>
    <row r="83" spans="1:17" ht="28" x14ac:dyDescent="0.2">
      <c r="A83" s="183">
        <v>45915</v>
      </c>
      <c r="B83" s="184" t="s">
        <v>95</v>
      </c>
      <c r="C83" s="285" t="s">
        <v>711</v>
      </c>
      <c r="D83" s="262" t="s">
        <v>249</v>
      </c>
      <c r="E83" s="209" t="s">
        <v>106</v>
      </c>
      <c r="F83" s="208"/>
      <c r="G83" s="208" t="s">
        <v>98</v>
      </c>
      <c r="H83" s="210"/>
      <c r="I83" s="211">
        <v>95.75</v>
      </c>
      <c r="J83" s="241"/>
      <c r="K83" s="236">
        <f t="shared" si="21"/>
        <v>95.75</v>
      </c>
      <c r="L83" s="236">
        <v>0</v>
      </c>
      <c r="M83" s="236">
        <f t="shared" si="22"/>
        <v>95.75</v>
      </c>
      <c r="N83" s="237">
        <v>-95.75</v>
      </c>
      <c r="O83" s="237"/>
      <c r="P83" s="237">
        <f t="shared" si="8"/>
        <v>31815.339999999997</v>
      </c>
      <c r="Q83" s="214"/>
    </row>
    <row r="84" spans="1:17" ht="14" x14ac:dyDescent="0.2">
      <c r="A84" s="183">
        <v>45915</v>
      </c>
      <c r="B84" s="184" t="s">
        <v>95</v>
      </c>
      <c r="C84" s="285" t="s">
        <v>712</v>
      </c>
      <c r="D84" s="262" t="s">
        <v>249</v>
      </c>
      <c r="E84" s="209" t="s">
        <v>106</v>
      </c>
      <c r="F84" s="11" t="s">
        <v>844</v>
      </c>
      <c r="G84" s="208" t="s">
        <v>98</v>
      </c>
      <c r="H84" s="210"/>
      <c r="I84" s="211">
        <v>8.9700000000000006</v>
      </c>
      <c r="J84" s="241"/>
      <c r="K84" s="236">
        <f t="shared" si="21"/>
        <v>8.9700000000000006</v>
      </c>
      <c r="L84" s="236">
        <v>1.5</v>
      </c>
      <c r="M84" s="236">
        <f t="shared" si="22"/>
        <v>7.4700000000000006</v>
      </c>
      <c r="N84" s="237">
        <v>-8.9700000000000006</v>
      </c>
      <c r="O84" s="237"/>
      <c r="P84" s="237">
        <f t="shared" si="8"/>
        <v>31806.369999999995</v>
      </c>
      <c r="Q84" s="214"/>
    </row>
    <row r="85" spans="1:17" ht="14" x14ac:dyDescent="0.2">
      <c r="A85" s="183">
        <v>45915</v>
      </c>
      <c r="B85" s="184" t="s">
        <v>95</v>
      </c>
      <c r="C85" s="285" t="s">
        <v>713</v>
      </c>
      <c r="D85" s="262" t="s">
        <v>822</v>
      </c>
      <c r="E85" s="209" t="s">
        <v>106</v>
      </c>
      <c r="F85" s="11" t="s">
        <v>844</v>
      </c>
      <c r="G85" s="208" t="s">
        <v>19</v>
      </c>
      <c r="H85" s="210"/>
      <c r="I85" s="211">
        <v>72.180000000000007</v>
      </c>
      <c r="J85" s="241"/>
      <c r="K85" s="236">
        <f t="shared" si="21"/>
        <v>72.180000000000007</v>
      </c>
      <c r="L85" s="236">
        <v>12.04</v>
      </c>
      <c r="M85" s="236">
        <f t="shared" si="22"/>
        <v>60.140000000000008</v>
      </c>
      <c r="N85" s="237">
        <v>-72.180000000000007</v>
      </c>
      <c r="O85" s="237"/>
      <c r="P85" s="237">
        <f t="shared" si="8"/>
        <v>31734.189999999995</v>
      </c>
      <c r="Q85" s="214"/>
    </row>
    <row r="86" spans="1:17" ht="14" x14ac:dyDescent="0.2">
      <c r="A86" s="183">
        <v>45915</v>
      </c>
      <c r="B86" s="184" t="s">
        <v>95</v>
      </c>
      <c r="C86" s="285" t="s">
        <v>714</v>
      </c>
      <c r="D86" s="262" t="s">
        <v>823</v>
      </c>
      <c r="E86" s="209" t="s">
        <v>106</v>
      </c>
      <c r="F86" s="11" t="s">
        <v>844</v>
      </c>
      <c r="G86" s="208" t="s">
        <v>98</v>
      </c>
      <c r="H86" s="210"/>
      <c r="I86" s="211">
        <v>4.49</v>
      </c>
      <c r="J86" s="241"/>
      <c r="K86" s="236">
        <f t="shared" si="21"/>
        <v>4.49</v>
      </c>
      <c r="L86" s="236">
        <v>0.75</v>
      </c>
      <c r="M86" s="236">
        <f t="shared" si="22"/>
        <v>3.74</v>
      </c>
      <c r="N86" s="237">
        <v>-4.49</v>
      </c>
      <c r="O86" s="237"/>
      <c r="P86" s="237">
        <f t="shared" si="8"/>
        <v>31729.699999999993</v>
      </c>
      <c r="Q86" s="214"/>
    </row>
    <row r="87" spans="1:17" ht="14" x14ac:dyDescent="0.2">
      <c r="A87" s="183">
        <v>45915</v>
      </c>
      <c r="B87" s="184" t="s">
        <v>485</v>
      </c>
      <c r="C87" s="285" t="s">
        <v>715</v>
      </c>
      <c r="D87" s="262">
        <v>1466</v>
      </c>
      <c r="E87" s="209" t="s">
        <v>106</v>
      </c>
      <c r="F87" s="11" t="s">
        <v>844</v>
      </c>
      <c r="G87" s="208" t="s">
        <v>163</v>
      </c>
      <c r="H87" s="210"/>
      <c r="I87" s="211">
        <v>18</v>
      </c>
      <c r="J87" s="241"/>
      <c r="K87" s="236">
        <f t="shared" si="21"/>
        <v>18</v>
      </c>
      <c r="L87" s="236">
        <v>3</v>
      </c>
      <c r="M87" s="236">
        <f t="shared" si="22"/>
        <v>15</v>
      </c>
      <c r="N87" s="237">
        <v>-18</v>
      </c>
      <c r="O87" s="237"/>
      <c r="P87" s="237">
        <f t="shared" si="8"/>
        <v>31711.699999999993</v>
      </c>
      <c r="Q87" s="214"/>
    </row>
    <row r="88" spans="1:17" ht="14" x14ac:dyDescent="0.2">
      <c r="A88" s="183">
        <v>45915</v>
      </c>
      <c r="B88" s="184" t="s">
        <v>255</v>
      </c>
      <c r="C88" s="285" t="s">
        <v>716</v>
      </c>
      <c r="D88" s="262" t="s">
        <v>249</v>
      </c>
      <c r="E88" s="209" t="s">
        <v>106</v>
      </c>
      <c r="F88" s="208"/>
      <c r="G88" s="208" t="s">
        <v>477</v>
      </c>
      <c r="H88" s="210"/>
      <c r="I88" s="211">
        <v>56.83</v>
      </c>
      <c r="J88" s="241"/>
      <c r="K88" s="236">
        <f t="shared" si="21"/>
        <v>56.83</v>
      </c>
      <c r="L88" s="236">
        <v>0</v>
      </c>
      <c r="M88" s="236">
        <f t="shared" ref="M88:M105" si="23">K88-L88</f>
        <v>56.83</v>
      </c>
      <c r="N88" s="237">
        <v>-56.83</v>
      </c>
      <c r="O88" s="237"/>
      <c r="P88" s="237">
        <f t="shared" si="8"/>
        <v>31654.869999999992</v>
      </c>
      <c r="Q88" s="214"/>
    </row>
    <row r="89" spans="1:17" ht="14" x14ac:dyDescent="0.2">
      <c r="A89" s="183">
        <v>45915</v>
      </c>
      <c r="B89" s="184" t="s">
        <v>507</v>
      </c>
      <c r="C89" s="285" t="s">
        <v>717</v>
      </c>
      <c r="D89" s="262" t="s">
        <v>824</v>
      </c>
      <c r="E89" s="209" t="s">
        <v>106</v>
      </c>
      <c r="F89" s="208"/>
      <c r="G89" s="208" t="s">
        <v>477</v>
      </c>
      <c r="H89" s="210"/>
      <c r="I89" s="211">
        <v>30</v>
      </c>
      <c r="J89" s="241"/>
      <c r="K89" s="236">
        <f t="shared" ref="K89:K103" si="24">I89</f>
        <v>30</v>
      </c>
      <c r="L89" s="236">
        <v>0</v>
      </c>
      <c r="M89" s="236">
        <f t="shared" si="23"/>
        <v>30</v>
      </c>
      <c r="N89" s="237">
        <v>-30</v>
      </c>
      <c r="O89" s="237"/>
      <c r="P89" s="237">
        <f t="shared" si="8"/>
        <v>31624.869999999992</v>
      </c>
      <c r="Q89" s="214"/>
    </row>
    <row r="90" spans="1:17" ht="14" x14ac:dyDescent="0.2">
      <c r="A90" s="183">
        <v>45915</v>
      </c>
      <c r="B90" s="184" t="s">
        <v>426</v>
      </c>
      <c r="C90" s="285" t="s">
        <v>716</v>
      </c>
      <c r="D90" s="262" t="s">
        <v>249</v>
      </c>
      <c r="E90" s="209" t="s">
        <v>106</v>
      </c>
      <c r="F90" s="208"/>
      <c r="G90" s="208" t="s">
        <v>477</v>
      </c>
      <c r="H90" s="210"/>
      <c r="I90" s="211">
        <v>5.8</v>
      </c>
      <c r="J90" s="241"/>
      <c r="K90" s="236">
        <f t="shared" si="24"/>
        <v>5.8</v>
      </c>
      <c r="L90" s="236">
        <v>0</v>
      </c>
      <c r="M90" s="236">
        <f t="shared" si="23"/>
        <v>5.8</v>
      </c>
      <c r="N90" s="237">
        <v>-5.8</v>
      </c>
      <c r="O90" s="237"/>
      <c r="P90" s="237">
        <f t="shared" si="8"/>
        <v>31619.069999999992</v>
      </c>
      <c r="Q90" s="214"/>
    </row>
    <row r="91" spans="1:17" ht="28" x14ac:dyDescent="0.2">
      <c r="A91" s="183">
        <v>45915</v>
      </c>
      <c r="B91" s="184" t="s">
        <v>718</v>
      </c>
      <c r="C91" s="285" t="s">
        <v>719</v>
      </c>
      <c r="D91" s="262">
        <v>8001863334</v>
      </c>
      <c r="E91" s="209" t="s">
        <v>106</v>
      </c>
      <c r="F91" s="208"/>
      <c r="G91" s="208" t="s">
        <v>47</v>
      </c>
      <c r="H91" s="210"/>
      <c r="I91" s="211">
        <v>400</v>
      </c>
      <c r="J91" s="241"/>
      <c r="K91" s="236">
        <f t="shared" si="24"/>
        <v>400</v>
      </c>
      <c r="L91" s="236">
        <v>0</v>
      </c>
      <c r="M91" s="236">
        <f t="shared" si="23"/>
        <v>400</v>
      </c>
      <c r="N91" s="237">
        <v>-400</v>
      </c>
      <c r="O91" s="237"/>
      <c r="P91" s="237">
        <f t="shared" si="8"/>
        <v>31219.069999999992</v>
      </c>
      <c r="Q91" s="214"/>
    </row>
    <row r="92" spans="1:17" ht="14" x14ac:dyDescent="0.2">
      <c r="A92" s="183">
        <v>45915</v>
      </c>
      <c r="B92" s="184" t="s">
        <v>119</v>
      </c>
      <c r="C92" s="285" t="s">
        <v>720</v>
      </c>
      <c r="D92" s="262" t="s">
        <v>825</v>
      </c>
      <c r="E92" s="209"/>
      <c r="F92" s="208"/>
      <c r="G92" s="208" t="s">
        <v>9</v>
      </c>
      <c r="H92" s="210">
        <v>135</v>
      </c>
      <c r="I92" s="211"/>
      <c r="J92" s="241"/>
      <c r="K92" s="236">
        <f t="shared" si="24"/>
        <v>0</v>
      </c>
      <c r="L92" s="236">
        <v>0</v>
      </c>
      <c r="M92" s="236">
        <f t="shared" si="23"/>
        <v>0</v>
      </c>
      <c r="N92" s="237">
        <v>135</v>
      </c>
      <c r="O92" s="237"/>
      <c r="P92" s="237">
        <f t="shared" si="8"/>
        <v>31354.069999999992</v>
      </c>
      <c r="Q92" s="214"/>
    </row>
    <row r="93" spans="1:17" ht="14" x14ac:dyDescent="0.2">
      <c r="A93" s="183">
        <v>45916</v>
      </c>
      <c r="B93" s="184" t="s">
        <v>577</v>
      </c>
      <c r="C93" s="285" t="s">
        <v>721</v>
      </c>
      <c r="D93" s="262">
        <v>16704</v>
      </c>
      <c r="E93" s="209" t="s">
        <v>106</v>
      </c>
      <c r="F93" s="11" t="s">
        <v>844</v>
      </c>
      <c r="G93" s="208" t="s">
        <v>50</v>
      </c>
      <c r="H93" s="210"/>
      <c r="I93" s="211">
        <v>597.11</v>
      </c>
      <c r="J93" s="241"/>
      <c r="K93" s="236">
        <f t="shared" si="24"/>
        <v>597.11</v>
      </c>
      <c r="L93" s="236">
        <v>99.51</v>
      </c>
      <c r="M93" s="236">
        <f t="shared" si="23"/>
        <v>497.6</v>
      </c>
      <c r="N93" s="237">
        <v>-597.11</v>
      </c>
      <c r="O93" s="237"/>
      <c r="P93" s="237">
        <f t="shared" si="8"/>
        <v>30756.959999999992</v>
      </c>
      <c r="Q93" s="214"/>
    </row>
    <row r="94" spans="1:17" ht="14" x14ac:dyDescent="0.2">
      <c r="A94" s="183">
        <v>45916</v>
      </c>
      <c r="B94" s="184" t="s">
        <v>722</v>
      </c>
      <c r="C94" s="285" t="s">
        <v>723</v>
      </c>
      <c r="D94" s="262" t="s">
        <v>826</v>
      </c>
      <c r="E94" s="209" t="s">
        <v>106</v>
      </c>
      <c r="F94" s="11" t="s">
        <v>844</v>
      </c>
      <c r="G94" s="208" t="s">
        <v>148</v>
      </c>
      <c r="H94" s="210"/>
      <c r="I94" s="211">
        <v>619.84</v>
      </c>
      <c r="J94" s="241"/>
      <c r="K94" s="236">
        <f t="shared" si="24"/>
        <v>619.84</v>
      </c>
      <c r="L94" s="236">
        <v>23.84</v>
      </c>
      <c r="M94" s="236">
        <f t="shared" si="23"/>
        <v>596</v>
      </c>
      <c r="N94" s="237">
        <v>-619.84</v>
      </c>
      <c r="O94" s="237"/>
      <c r="P94" s="237">
        <f t="shared" si="8"/>
        <v>30137.119999999992</v>
      </c>
      <c r="Q94" s="214"/>
    </row>
    <row r="95" spans="1:17" ht="14" x14ac:dyDescent="0.2">
      <c r="A95" s="183">
        <v>45919</v>
      </c>
      <c r="B95" s="184" t="s">
        <v>545</v>
      </c>
      <c r="C95" s="285" t="s">
        <v>617</v>
      </c>
      <c r="D95" s="262">
        <v>464347398</v>
      </c>
      <c r="E95" s="209" t="s">
        <v>106</v>
      </c>
      <c r="F95" s="208"/>
      <c r="G95" s="208" t="s">
        <v>27</v>
      </c>
      <c r="H95" s="210"/>
      <c r="I95" s="211">
        <v>4.25</v>
      </c>
      <c r="J95" s="241"/>
      <c r="K95" s="236">
        <f t="shared" si="24"/>
        <v>4.25</v>
      </c>
      <c r="L95" s="236">
        <v>0</v>
      </c>
      <c r="M95" s="236">
        <f t="shared" si="23"/>
        <v>4.25</v>
      </c>
      <c r="N95" s="237">
        <v>-4.25</v>
      </c>
      <c r="O95" s="237"/>
      <c r="P95" s="237">
        <f t="shared" si="8"/>
        <v>30132.869999999992</v>
      </c>
      <c r="Q95" s="214"/>
    </row>
    <row r="96" spans="1:17" ht="14" x14ac:dyDescent="0.2">
      <c r="A96" s="183">
        <v>45923</v>
      </c>
      <c r="B96" s="184" t="s">
        <v>119</v>
      </c>
      <c r="C96" s="285" t="s">
        <v>724</v>
      </c>
      <c r="D96" s="262" t="s">
        <v>807</v>
      </c>
      <c r="E96" s="209"/>
      <c r="F96" s="208"/>
      <c r="G96" s="208" t="s">
        <v>6</v>
      </c>
      <c r="H96" s="210">
        <v>20</v>
      </c>
      <c r="I96" s="211"/>
      <c r="J96" s="241"/>
      <c r="K96" s="236">
        <f t="shared" si="24"/>
        <v>0</v>
      </c>
      <c r="L96" s="236">
        <v>0</v>
      </c>
      <c r="M96" s="236">
        <f t="shared" si="23"/>
        <v>0</v>
      </c>
      <c r="N96" s="237">
        <v>20</v>
      </c>
      <c r="O96" s="237"/>
      <c r="P96" s="237">
        <f t="shared" si="8"/>
        <v>30152.869999999992</v>
      </c>
      <c r="Q96" s="214"/>
    </row>
    <row r="97" spans="1:17" ht="14" x14ac:dyDescent="0.2">
      <c r="A97" s="183">
        <v>45923</v>
      </c>
      <c r="B97" s="184" t="s">
        <v>119</v>
      </c>
      <c r="C97" s="285" t="s">
        <v>725</v>
      </c>
      <c r="D97" s="262" t="s">
        <v>807</v>
      </c>
      <c r="E97" s="209"/>
      <c r="F97" s="208"/>
      <c r="G97" s="208" t="s">
        <v>6</v>
      </c>
      <c r="H97" s="210">
        <v>40</v>
      </c>
      <c r="I97" s="211"/>
      <c r="J97" s="241"/>
      <c r="K97" s="236">
        <f t="shared" si="24"/>
        <v>0</v>
      </c>
      <c r="L97" s="236">
        <v>0</v>
      </c>
      <c r="M97" s="236">
        <f t="shared" si="23"/>
        <v>0</v>
      </c>
      <c r="N97" s="237">
        <v>40</v>
      </c>
      <c r="O97" s="237"/>
      <c r="P97" s="237">
        <f t="shared" si="8"/>
        <v>30192.869999999992</v>
      </c>
      <c r="Q97" s="214"/>
    </row>
    <row r="98" spans="1:17" ht="14" x14ac:dyDescent="0.2">
      <c r="A98" s="183">
        <v>45923</v>
      </c>
      <c r="B98" s="184" t="s">
        <v>119</v>
      </c>
      <c r="C98" s="285" t="s">
        <v>726</v>
      </c>
      <c r="D98" s="262" t="s">
        <v>807</v>
      </c>
      <c r="E98" s="209"/>
      <c r="F98" s="208"/>
      <c r="G98" s="208" t="s">
        <v>6</v>
      </c>
      <c r="H98" s="210">
        <v>20</v>
      </c>
      <c r="I98" s="211"/>
      <c r="J98" s="241"/>
      <c r="K98" s="236">
        <f t="shared" si="24"/>
        <v>0</v>
      </c>
      <c r="L98" s="236">
        <v>0</v>
      </c>
      <c r="M98" s="236">
        <f t="shared" si="23"/>
        <v>0</v>
      </c>
      <c r="N98" s="237">
        <v>20</v>
      </c>
      <c r="O98" s="237"/>
      <c r="P98" s="237">
        <f t="shared" si="8"/>
        <v>30212.869999999992</v>
      </c>
      <c r="Q98" s="214"/>
    </row>
    <row r="99" spans="1:17" ht="14" x14ac:dyDescent="0.2">
      <c r="A99" s="183">
        <v>45924</v>
      </c>
      <c r="B99" s="184" t="s">
        <v>119</v>
      </c>
      <c r="C99" s="285" t="s">
        <v>727</v>
      </c>
      <c r="D99" s="262" t="s">
        <v>808</v>
      </c>
      <c r="E99" s="209"/>
      <c r="F99" s="208"/>
      <c r="G99" s="208" t="s">
        <v>6</v>
      </c>
      <c r="H99" s="210">
        <v>20</v>
      </c>
      <c r="I99" s="211"/>
      <c r="J99" s="241"/>
      <c r="K99" s="236">
        <f t="shared" si="24"/>
        <v>0</v>
      </c>
      <c r="L99" s="236">
        <v>0</v>
      </c>
      <c r="M99" s="236">
        <f t="shared" si="23"/>
        <v>0</v>
      </c>
      <c r="N99" s="237">
        <v>20</v>
      </c>
      <c r="O99" s="237"/>
      <c r="P99" s="237">
        <f t="shared" si="8"/>
        <v>30232.869999999992</v>
      </c>
      <c r="Q99" s="214"/>
    </row>
    <row r="100" spans="1:17" ht="14" x14ac:dyDescent="0.2">
      <c r="A100" s="183">
        <v>45925</v>
      </c>
      <c r="B100" s="184" t="s">
        <v>119</v>
      </c>
      <c r="C100" s="285" t="s">
        <v>728</v>
      </c>
      <c r="D100" s="262" t="s">
        <v>809</v>
      </c>
      <c r="E100" s="209"/>
      <c r="F100" s="208"/>
      <c r="G100" s="208" t="s">
        <v>6</v>
      </c>
      <c r="H100" s="210">
        <v>20</v>
      </c>
      <c r="I100" s="211"/>
      <c r="J100" s="241"/>
      <c r="K100" s="236">
        <f t="shared" si="24"/>
        <v>0</v>
      </c>
      <c r="L100" s="236">
        <v>0</v>
      </c>
      <c r="M100" s="236">
        <f t="shared" si="23"/>
        <v>0</v>
      </c>
      <c r="N100" s="237">
        <v>20</v>
      </c>
      <c r="O100" s="237"/>
      <c r="P100" s="237">
        <f t="shared" si="8"/>
        <v>30252.869999999992</v>
      </c>
      <c r="Q100" s="214"/>
    </row>
    <row r="101" spans="1:17" ht="14" x14ac:dyDescent="0.2">
      <c r="A101" s="183">
        <v>45926</v>
      </c>
      <c r="B101" s="184" t="s">
        <v>848</v>
      </c>
      <c r="C101" s="285" t="s">
        <v>729</v>
      </c>
      <c r="D101" s="262" t="s">
        <v>821</v>
      </c>
      <c r="E101" s="209" t="s">
        <v>239</v>
      </c>
      <c r="F101" s="208"/>
      <c r="G101" s="208" t="s">
        <v>21</v>
      </c>
      <c r="H101" s="210"/>
      <c r="I101" s="211">
        <v>47</v>
      </c>
      <c r="J101" s="241"/>
      <c r="K101" s="236">
        <f t="shared" si="24"/>
        <v>47</v>
      </c>
      <c r="L101" s="236">
        <v>0</v>
      </c>
      <c r="M101" s="236">
        <f t="shared" si="23"/>
        <v>47</v>
      </c>
      <c r="N101" s="237">
        <v>-47</v>
      </c>
      <c r="O101" s="237"/>
      <c r="P101" s="237">
        <f t="shared" si="8"/>
        <v>30205.869999999992</v>
      </c>
      <c r="Q101" s="214"/>
    </row>
    <row r="102" spans="1:17" ht="14" x14ac:dyDescent="0.2">
      <c r="A102" s="183">
        <v>45929</v>
      </c>
      <c r="B102" s="184" t="s">
        <v>119</v>
      </c>
      <c r="C102" s="285" t="s">
        <v>730</v>
      </c>
      <c r="D102" s="262" t="s">
        <v>811</v>
      </c>
      <c r="E102" s="209"/>
      <c r="F102" s="208"/>
      <c r="G102" s="208" t="s">
        <v>6</v>
      </c>
      <c r="H102" s="210">
        <v>60</v>
      </c>
      <c r="I102" s="211"/>
      <c r="J102" s="241"/>
      <c r="K102" s="236">
        <f t="shared" si="24"/>
        <v>0</v>
      </c>
      <c r="L102" s="236">
        <v>0</v>
      </c>
      <c r="M102" s="236">
        <f t="shared" si="23"/>
        <v>0</v>
      </c>
      <c r="N102" s="237">
        <v>60</v>
      </c>
      <c r="O102" s="237"/>
      <c r="P102" s="237">
        <f t="shared" si="8"/>
        <v>30265.869999999992</v>
      </c>
      <c r="Q102" s="214"/>
    </row>
    <row r="103" spans="1:17" ht="14" x14ac:dyDescent="0.2">
      <c r="A103" s="183">
        <v>45929</v>
      </c>
      <c r="B103" s="184" t="s">
        <v>119</v>
      </c>
      <c r="C103" s="285" t="s">
        <v>731</v>
      </c>
      <c r="D103" s="262" t="s">
        <v>811</v>
      </c>
      <c r="E103" s="209"/>
      <c r="F103" s="208"/>
      <c r="G103" s="208" t="s">
        <v>6</v>
      </c>
      <c r="H103" s="210">
        <v>20</v>
      </c>
      <c r="I103" s="211"/>
      <c r="J103" s="241"/>
      <c r="K103" s="236">
        <f t="shared" si="24"/>
        <v>0</v>
      </c>
      <c r="L103" s="236">
        <v>0</v>
      </c>
      <c r="M103" s="236">
        <f t="shared" si="23"/>
        <v>0</v>
      </c>
      <c r="N103" s="237">
        <v>20</v>
      </c>
      <c r="O103" s="237"/>
      <c r="P103" s="237">
        <f t="shared" si="8"/>
        <v>30285.869999999992</v>
      </c>
      <c r="Q103" s="214"/>
    </row>
    <row r="104" spans="1:17" ht="14" x14ac:dyDescent="0.2">
      <c r="A104" s="183">
        <v>45930</v>
      </c>
      <c r="B104" s="184" t="s">
        <v>119</v>
      </c>
      <c r="C104" s="285" t="s">
        <v>732</v>
      </c>
      <c r="D104" s="262" t="s">
        <v>812</v>
      </c>
      <c r="E104" s="209"/>
      <c r="F104" s="208"/>
      <c r="G104" s="208" t="s">
        <v>6</v>
      </c>
      <c r="H104" s="210">
        <v>20</v>
      </c>
      <c r="I104" s="211"/>
      <c r="J104" s="241"/>
      <c r="K104" s="236">
        <f t="shared" si="21"/>
        <v>0</v>
      </c>
      <c r="L104" s="236">
        <v>0</v>
      </c>
      <c r="M104" s="236">
        <f t="shared" si="23"/>
        <v>0</v>
      </c>
      <c r="N104" s="237">
        <v>20</v>
      </c>
      <c r="O104" s="237"/>
      <c r="P104" s="237">
        <f t="shared" si="8"/>
        <v>30305.869999999992</v>
      </c>
      <c r="Q104" s="214"/>
    </row>
    <row r="105" spans="1:17" ht="14" x14ac:dyDescent="0.2">
      <c r="A105" s="183">
        <v>45931</v>
      </c>
      <c r="B105" s="184" t="s">
        <v>733</v>
      </c>
      <c r="C105" s="285" t="s">
        <v>734</v>
      </c>
      <c r="D105" s="262" t="s">
        <v>827</v>
      </c>
      <c r="E105" s="209" t="s">
        <v>106</v>
      </c>
      <c r="F105" s="11" t="s">
        <v>844</v>
      </c>
      <c r="G105" s="208" t="s">
        <v>48</v>
      </c>
      <c r="H105" s="210"/>
      <c r="I105" s="211">
        <v>536.4</v>
      </c>
      <c r="J105" s="241"/>
      <c r="K105" s="236">
        <f t="shared" si="21"/>
        <v>536.4</v>
      </c>
      <c r="L105" s="236">
        <v>89.4</v>
      </c>
      <c r="M105" s="236">
        <f t="shared" si="23"/>
        <v>447</v>
      </c>
      <c r="N105" s="237">
        <v>-536.4</v>
      </c>
      <c r="O105" s="237"/>
      <c r="P105" s="237">
        <f t="shared" si="8"/>
        <v>29769.46999999999</v>
      </c>
      <c r="Q105" s="214"/>
    </row>
    <row r="106" spans="1:17" ht="14" x14ac:dyDescent="0.2">
      <c r="A106" s="183">
        <v>45931</v>
      </c>
      <c r="B106" s="184" t="s">
        <v>688</v>
      </c>
      <c r="C106" s="285" t="s">
        <v>735</v>
      </c>
      <c r="D106" s="262">
        <v>33932</v>
      </c>
      <c r="E106" s="209" t="s">
        <v>106</v>
      </c>
      <c r="F106" s="11" t="s">
        <v>844</v>
      </c>
      <c r="G106" s="208" t="s">
        <v>38</v>
      </c>
      <c r="H106" s="210"/>
      <c r="I106" s="211">
        <v>150</v>
      </c>
      <c r="J106" s="241"/>
      <c r="K106" s="236">
        <v>150</v>
      </c>
      <c r="L106" s="236">
        <v>25</v>
      </c>
      <c r="M106" s="236">
        <f t="shared" si="22"/>
        <v>125</v>
      </c>
      <c r="N106" s="237">
        <v>-150</v>
      </c>
      <c r="O106" s="237"/>
      <c r="P106" s="237">
        <f t="shared" si="8"/>
        <v>29619.46999999999</v>
      </c>
      <c r="Q106" s="214"/>
    </row>
    <row r="107" spans="1:17" ht="14" x14ac:dyDescent="0.2">
      <c r="A107" s="183">
        <v>45936</v>
      </c>
      <c r="B107" s="208" t="s">
        <v>119</v>
      </c>
      <c r="C107" s="288" t="s">
        <v>736</v>
      </c>
      <c r="D107" s="295" t="s">
        <v>813</v>
      </c>
      <c r="E107" s="209"/>
      <c r="F107" s="208"/>
      <c r="G107" s="208" t="s">
        <v>6</v>
      </c>
      <c r="H107" s="210">
        <v>20</v>
      </c>
      <c r="I107" s="211"/>
      <c r="J107" s="241"/>
      <c r="K107" s="236">
        <f t="shared" si="21"/>
        <v>0</v>
      </c>
      <c r="L107" s="236">
        <v>0</v>
      </c>
      <c r="M107" s="236">
        <f t="shared" si="22"/>
        <v>0</v>
      </c>
      <c r="N107" s="237">
        <v>20</v>
      </c>
      <c r="O107" s="241"/>
      <c r="P107" s="237">
        <f t="shared" si="8"/>
        <v>29639.46999999999</v>
      </c>
      <c r="Q107" s="214"/>
    </row>
    <row r="108" spans="1:17" ht="14" x14ac:dyDescent="0.2">
      <c r="A108" s="183">
        <v>45943</v>
      </c>
      <c r="B108" s="208" t="s">
        <v>737</v>
      </c>
      <c r="C108" s="285" t="s">
        <v>739</v>
      </c>
      <c r="D108" s="262"/>
      <c r="E108" s="239"/>
      <c r="F108" s="240"/>
      <c r="G108" s="208" t="s">
        <v>13</v>
      </c>
      <c r="H108" s="292"/>
      <c r="I108" s="211">
        <v>73.5</v>
      </c>
      <c r="J108" s="290"/>
      <c r="K108" s="236">
        <f t="shared" ref="K108:K129" si="25">I108</f>
        <v>73.5</v>
      </c>
      <c r="L108" s="236">
        <v>0</v>
      </c>
      <c r="M108" s="236">
        <f t="shared" ref="M108:M129" si="26">K108-L108</f>
        <v>73.5</v>
      </c>
      <c r="N108" s="291">
        <v>-105</v>
      </c>
      <c r="O108" s="290"/>
      <c r="P108" s="237">
        <f t="shared" si="8"/>
        <v>29534.46999999999</v>
      </c>
      <c r="Q108" s="242"/>
    </row>
    <row r="109" spans="1:17" ht="14" x14ac:dyDescent="0.2">
      <c r="A109" s="183">
        <v>45943</v>
      </c>
      <c r="B109" s="208" t="s">
        <v>738</v>
      </c>
      <c r="C109" s="285" t="s">
        <v>740</v>
      </c>
      <c r="D109" s="262"/>
      <c r="E109" s="239"/>
      <c r="F109" s="240"/>
      <c r="G109" s="208" t="s">
        <v>13</v>
      </c>
      <c r="H109" s="292"/>
      <c r="I109" s="211">
        <v>294.14</v>
      </c>
      <c r="J109" s="290"/>
      <c r="K109" s="236">
        <f t="shared" si="25"/>
        <v>294.14</v>
      </c>
      <c r="L109" s="236">
        <v>0</v>
      </c>
      <c r="M109" s="236">
        <f t="shared" si="26"/>
        <v>294.14</v>
      </c>
      <c r="N109" s="291">
        <v>-421.33</v>
      </c>
      <c r="O109" s="290"/>
      <c r="P109" s="237">
        <f t="shared" ref="P109:P172" si="27">P108+N109</f>
        <v>29113.139999999989</v>
      </c>
      <c r="Q109" s="242"/>
    </row>
    <row r="110" spans="1:17" ht="14" x14ac:dyDescent="0.2">
      <c r="A110" s="183">
        <v>45943</v>
      </c>
      <c r="B110" s="184" t="s">
        <v>738</v>
      </c>
      <c r="C110" s="285" t="s">
        <v>741</v>
      </c>
      <c r="D110" s="262"/>
      <c r="E110" s="209"/>
      <c r="F110" s="208"/>
      <c r="G110" s="208" t="s">
        <v>19</v>
      </c>
      <c r="H110" s="292"/>
      <c r="I110" s="211">
        <v>1.1299999999999999</v>
      </c>
      <c r="J110" s="290"/>
      <c r="K110" s="236">
        <f t="shared" si="25"/>
        <v>1.1299999999999999</v>
      </c>
      <c r="L110" s="236">
        <v>0</v>
      </c>
      <c r="M110" s="236">
        <f t="shared" si="26"/>
        <v>1.1299999999999999</v>
      </c>
      <c r="N110" s="291"/>
      <c r="O110" s="290"/>
      <c r="P110" s="237">
        <f t="shared" si="27"/>
        <v>29113.139999999989</v>
      </c>
      <c r="Q110" s="242"/>
    </row>
    <row r="111" spans="1:17" ht="14" x14ac:dyDescent="0.2">
      <c r="A111" s="183">
        <v>45943</v>
      </c>
      <c r="B111" s="184" t="s">
        <v>737</v>
      </c>
      <c r="C111" s="285" t="s">
        <v>742</v>
      </c>
      <c r="D111" s="262"/>
      <c r="E111" s="209"/>
      <c r="F111" s="208"/>
      <c r="G111" s="208" t="s">
        <v>17</v>
      </c>
      <c r="H111" s="292"/>
      <c r="I111" s="211">
        <v>31.5</v>
      </c>
      <c r="J111" s="290"/>
      <c r="K111" s="236">
        <f t="shared" si="25"/>
        <v>31.5</v>
      </c>
      <c r="L111" s="236">
        <v>0</v>
      </c>
      <c r="M111" s="236">
        <f t="shared" si="26"/>
        <v>31.5</v>
      </c>
      <c r="N111" s="291"/>
      <c r="O111" s="290"/>
      <c r="P111" s="237">
        <f t="shared" si="27"/>
        <v>29113.139999999989</v>
      </c>
      <c r="Q111" s="242"/>
    </row>
    <row r="112" spans="1:17" ht="14" x14ac:dyDescent="0.2">
      <c r="A112" s="183">
        <v>45943</v>
      </c>
      <c r="B112" s="184" t="s">
        <v>738</v>
      </c>
      <c r="C112" s="285" t="s">
        <v>742</v>
      </c>
      <c r="D112" s="262"/>
      <c r="E112" s="209"/>
      <c r="F112" s="208"/>
      <c r="G112" s="208" t="s">
        <v>17</v>
      </c>
      <c r="H112" s="292"/>
      <c r="I112" s="211">
        <v>126.06</v>
      </c>
      <c r="J112" s="290"/>
      <c r="K112" s="236">
        <f t="shared" si="25"/>
        <v>126.06</v>
      </c>
      <c r="L112" s="236">
        <v>0</v>
      </c>
      <c r="M112" s="236">
        <f t="shared" si="26"/>
        <v>126.06</v>
      </c>
      <c r="N112" s="291"/>
      <c r="O112" s="290"/>
      <c r="P112" s="237">
        <f t="shared" si="27"/>
        <v>29113.139999999989</v>
      </c>
      <c r="Q112" s="242"/>
    </row>
    <row r="113" spans="1:17" ht="14" x14ac:dyDescent="0.2">
      <c r="A113" s="183">
        <v>45943</v>
      </c>
      <c r="B113" s="208" t="s">
        <v>296</v>
      </c>
      <c r="C113" s="288" t="s">
        <v>743</v>
      </c>
      <c r="D113" s="262">
        <v>7263</v>
      </c>
      <c r="E113" s="209" t="s">
        <v>106</v>
      </c>
      <c r="F113" s="208"/>
      <c r="G113" s="208" t="s">
        <v>34</v>
      </c>
      <c r="H113" s="292"/>
      <c r="I113" s="289">
        <v>150</v>
      </c>
      <c r="J113" s="290"/>
      <c r="K113" s="236">
        <f t="shared" si="25"/>
        <v>150</v>
      </c>
      <c r="L113" s="236">
        <v>0</v>
      </c>
      <c r="M113" s="236">
        <f t="shared" si="26"/>
        <v>150</v>
      </c>
      <c r="N113" s="291">
        <v>-150</v>
      </c>
      <c r="O113" s="290"/>
      <c r="P113" s="237">
        <f t="shared" si="27"/>
        <v>28963.139999999989</v>
      </c>
      <c r="Q113" s="242"/>
    </row>
    <row r="114" spans="1:17" ht="14" x14ac:dyDescent="0.2">
      <c r="A114" s="183">
        <v>45943</v>
      </c>
      <c r="B114" s="208" t="s">
        <v>119</v>
      </c>
      <c r="C114" s="288" t="s">
        <v>744</v>
      </c>
      <c r="D114" s="262" t="s">
        <v>814</v>
      </c>
      <c r="E114" s="209"/>
      <c r="F114" s="208"/>
      <c r="G114" s="208" t="s">
        <v>6</v>
      </c>
      <c r="H114" s="292">
        <v>20</v>
      </c>
      <c r="I114" s="289"/>
      <c r="J114" s="290"/>
      <c r="K114" s="236">
        <f t="shared" si="25"/>
        <v>0</v>
      </c>
      <c r="L114" s="236">
        <v>0</v>
      </c>
      <c r="M114" s="236">
        <f t="shared" si="26"/>
        <v>0</v>
      </c>
      <c r="N114" s="291">
        <v>20</v>
      </c>
      <c r="O114" s="290"/>
      <c r="P114" s="237">
        <f t="shared" si="27"/>
        <v>28983.139999999989</v>
      </c>
      <c r="Q114" s="242"/>
    </row>
    <row r="115" spans="1:17" ht="14" x14ac:dyDescent="0.2">
      <c r="A115" s="183">
        <v>45945</v>
      </c>
      <c r="B115" s="208" t="s">
        <v>119</v>
      </c>
      <c r="C115" s="288" t="s">
        <v>745</v>
      </c>
      <c r="D115" s="262" t="s">
        <v>815</v>
      </c>
      <c r="E115" s="209"/>
      <c r="F115" s="208"/>
      <c r="G115" s="208" t="s">
        <v>6</v>
      </c>
      <c r="H115" s="292">
        <v>20</v>
      </c>
      <c r="I115" s="289"/>
      <c r="J115" s="290"/>
      <c r="K115" s="236">
        <f t="shared" si="25"/>
        <v>0</v>
      </c>
      <c r="L115" s="236">
        <v>0</v>
      </c>
      <c r="M115" s="236">
        <f t="shared" si="26"/>
        <v>0</v>
      </c>
      <c r="N115" s="291">
        <v>20</v>
      </c>
      <c r="O115" s="290"/>
      <c r="P115" s="237">
        <f t="shared" si="27"/>
        <v>29003.139999999989</v>
      </c>
      <c r="Q115" s="242"/>
    </row>
    <row r="116" spans="1:17" ht="14" x14ac:dyDescent="0.2">
      <c r="A116" s="183">
        <v>45945</v>
      </c>
      <c r="B116" s="208" t="s">
        <v>577</v>
      </c>
      <c r="C116" s="285" t="s">
        <v>746</v>
      </c>
      <c r="D116" s="262">
        <v>16754</v>
      </c>
      <c r="E116" s="209" t="s">
        <v>106</v>
      </c>
      <c r="F116" s="11" t="s">
        <v>844</v>
      </c>
      <c r="G116" s="208" t="s">
        <v>50</v>
      </c>
      <c r="H116" s="292"/>
      <c r="I116" s="289">
        <v>597.11</v>
      </c>
      <c r="J116" s="290"/>
      <c r="K116" s="236">
        <f t="shared" si="25"/>
        <v>597.11</v>
      </c>
      <c r="L116" s="236">
        <v>99.51</v>
      </c>
      <c r="M116" s="236">
        <f t="shared" si="26"/>
        <v>497.6</v>
      </c>
      <c r="N116" s="291">
        <v>-597.11</v>
      </c>
      <c r="O116" s="290"/>
      <c r="P116" s="237">
        <f t="shared" si="27"/>
        <v>28406.029999999988</v>
      </c>
      <c r="Q116" s="242"/>
    </row>
    <row r="117" spans="1:17" ht="14" x14ac:dyDescent="0.2">
      <c r="A117" s="183">
        <v>45945</v>
      </c>
      <c r="B117" s="208" t="s">
        <v>119</v>
      </c>
      <c r="C117" s="288" t="s">
        <v>747</v>
      </c>
      <c r="D117" s="262" t="s">
        <v>816</v>
      </c>
      <c r="E117" s="209"/>
      <c r="F117" s="208"/>
      <c r="G117" s="208" t="s">
        <v>6</v>
      </c>
      <c r="H117" s="292">
        <v>20</v>
      </c>
      <c r="I117" s="289"/>
      <c r="J117" s="290"/>
      <c r="K117" s="236">
        <f t="shared" si="25"/>
        <v>0</v>
      </c>
      <c r="L117" s="236">
        <v>0</v>
      </c>
      <c r="M117" s="236">
        <f t="shared" si="26"/>
        <v>0</v>
      </c>
      <c r="N117" s="291">
        <v>20</v>
      </c>
      <c r="O117" s="290"/>
      <c r="P117" s="237">
        <f t="shared" si="27"/>
        <v>28426.029999999988</v>
      </c>
      <c r="Q117" s="242"/>
    </row>
    <row r="118" spans="1:17" ht="14" x14ac:dyDescent="0.2">
      <c r="A118" s="183">
        <v>45950</v>
      </c>
      <c r="B118" s="208" t="s">
        <v>119</v>
      </c>
      <c r="C118" s="288" t="s">
        <v>748</v>
      </c>
      <c r="D118" s="262" t="s">
        <v>817</v>
      </c>
      <c r="E118" s="209"/>
      <c r="F118" s="208"/>
      <c r="G118" s="208" t="s">
        <v>6</v>
      </c>
      <c r="H118" s="292">
        <v>20</v>
      </c>
      <c r="I118" s="289"/>
      <c r="J118" s="290"/>
      <c r="K118" s="236">
        <f t="shared" si="25"/>
        <v>0</v>
      </c>
      <c r="L118" s="236">
        <v>0</v>
      </c>
      <c r="M118" s="236">
        <f t="shared" si="26"/>
        <v>0</v>
      </c>
      <c r="N118" s="291">
        <v>20</v>
      </c>
      <c r="O118" s="290"/>
      <c r="P118" s="237">
        <f t="shared" si="27"/>
        <v>28446.029999999988</v>
      </c>
      <c r="Q118" s="242"/>
    </row>
    <row r="119" spans="1:17" ht="14" x14ac:dyDescent="0.2">
      <c r="A119" s="183">
        <v>45950</v>
      </c>
      <c r="B119" s="208" t="s">
        <v>545</v>
      </c>
      <c r="C119" s="288" t="s">
        <v>617</v>
      </c>
      <c r="D119" s="269">
        <v>466775206</v>
      </c>
      <c r="E119" s="209" t="s">
        <v>106</v>
      </c>
      <c r="F119" s="208"/>
      <c r="G119" s="208" t="s">
        <v>27</v>
      </c>
      <c r="H119" s="292"/>
      <c r="I119" s="289">
        <v>4.25</v>
      </c>
      <c r="J119" s="290"/>
      <c r="K119" s="236">
        <f t="shared" si="25"/>
        <v>4.25</v>
      </c>
      <c r="L119" s="236">
        <v>0</v>
      </c>
      <c r="M119" s="236">
        <f t="shared" si="26"/>
        <v>4.25</v>
      </c>
      <c r="N119" s="291">
        <v>-4.25</v>
      </c>
      <c r="O119" s="290"/>
      <c r="P119" s="237">
        <f t="shared" si="27"/>
        <v>28441.779999999988</v>
      </c>
      <c r="Q119" s="242"/>
    </row>
    <row r="120" spans="1:17" ht="14" x14ac:dyDescent="0.2">
      <c r="A120" s="183">
        <v>45952</v>
      </c>
      <c r="B120" s="208" t="s">
        <v>119</v>
      </c>
      <c r="C120" s="288" t="s">
        <v>749</v>
      </c>
      <c r="D120" s="262" t="s">
        <v>818</v>
      </c>
      <c r="E120" s="209"/>
      <c r="F120" s="208"/>
      <c r="G120" s="208" t="s">
        <v>6</v>
      </c>
      <c r="H120" s="292">
        <v>20</v>
      </c>
      <c r="I120" s="289"/>
      <c r="J120" s="290"/>
      <c r="K120" s="236">
        <f t="shared" si="25"/>
        <v>0</v>
      </c>
      <c r="L120" s="236">
        <v>0</v>
      </c>
      <c r="M120" s="236">
        <f t="shared" si="26"/>
        <v>0</v>
      </c>
      <c r="N120" s="291">
        <v>20</v>
      </c>
      <c r="O120" s="290"/>
      <c r="P120" s="237">
        <f t="shared" si="27"/>
        <v>28461.779999999988</v>
      </c>
      <c r="Q120" s="242"/>
    </row>
    <row r="121" spans="1:17" ht="28" x14ac:dyDescent="0.2">
      <c r="A121" s="183">
        <v>45953</v>
      </c>
      <c r="B121" s="208" t="s">
        <v>96</v>
      </c>
      <c r="C121" s="286" t="s">
        <v>750</v>
      </c>
      <c r="D121" s="262">
        <v>9052587</v>
      </c>
      <c r="E121" s="209" t="s">
        <v>106</v>
      </c>
      <c r="F121" s="208"/>
      <c r="G121" s="208" t="s">
        <v>48</v>
      </c>
      <c r="H121" s="292"/>
      <c r="I121" s="289">
        <v>150.74</v>
      </c>
      <c r="J121" s="290"/>
      <c r="K121" s="236">
        <f t="shared" si="25"/>
        <v>150.74</v>
      </c>
      <c r="L121" s="236">
        <v>0</v>
      </c>
      <c r="M121" s="236">
        <f t="shared" si="26"/>
        <v>150.74</v>
      </c>
      <c r="N121" s="291">
        <v>-150.74</v>
      </c>
      <c r="O121" s="290"/>
      <c r="P121" s="237">
        <f t="shared" si="27"/>
        <v>28311.039999999986</v>
      </c>
      <c r="Q121" s="242"/>
    </row>
    <row r="122" spans="1:17" ht="28" x14ac:dyDescent="0.2">
      <c r="A122" s="183">
        <v>45957</v>
      </c>
      <c r="B122" s="208" t="s">
        <v>751</v>
      </c>
      <c r="C122" s="288" t="s">
        <v>752</v>
      </c>
      <c r="D122" s="262" t="s">
        <v>239</v>
      </c>
      <c r="E122" s="209" t="s">
        <v>106</v>
      </c>
      <c r="F122" s="208"/>
      <c r="G122" s="208" t="s">
        <v>98</v>
      </c>
      <c r="H122" s="292"/>
      <c r="I122" s="289">
        <v>50</v>
      </c>
      <c r="J122" s="290"/>
      <c r="K122" s="236">
        <f t="shared" si="25"/>
        <v>50</v>
      </c>
      <c r="L122" s="236">
        <v>0</v>
      </c>
      <c r="M122" s="236">
        <f t="shared" si="26"/>
        <v>50</v>
      </c>
      <c r="N122" s="291">
        <v>-50</v>
      </c>
      <c r="O122" s="290"/>
      <c r="P122" s="237">
        <f t="shared" si="27"/>
        <v>28261.039999999986</v>
      </c>
      <c r="Q122" s="242"/>
    </row>
    <row r="123" spans="1:17" ht="14" x14ac:dyDescent="0.2">
      <c r="A123" s="183">
        <v>45959</v>
      </c>
      <c r="B123" s="208" t="s">
        <v>688</v>
      </c>
      <c r="C123" s="288" t="s">
        <v>753</v>
      </c>
      <c r="D123" s="262">
        <v>34009</v>
      </c>
      <c r="E123" s="209" t="s">
        <v>106</v>
      </c>
      <c r="F123" s="11" t="s">
        <v>844</v>
      </c>
      <c r="G123" s="208" t="s">
        <v>38</v>
      </c>
      <c r="H123" s="292"/>
      <c r="I123" s="289">
        <v>120</v>
      </c>
      <c r="J123" s="290"/>
      <c r="K123" s="236">
        <f t="shared" si="25"/>
        <v>120</v>
      </c>
      <c r="L123" s="236">
        <v>20</v>
      </c>
      <c r="M123" s="236">
        <f t="shared" si="26"/>
        <v>100</v>
      </c>
      <c r="N123" s="291">
        <v>-120</v>
      </c>
      <c r="O123" s="290"/>
      <c r="P123" s="237">
        <f t="shared" si="27"/>
        <v>28141.039999999986</v>
      </c>
      <c r="Q123" s="218" t="s">
        <v>764</v>
      </c>
    </row>
    <row r="124" spans="1:17" ht="14" x14ac:dyDescent="0.2">
      <c r="A124" s="183">
        <v>45964</v>
      </c>
      <c r="B124" s="208" t="s">
        <v>119</v>
      </c>
      <c r="C124" s="288" t="s">
        <v>754</v>
      </c>
      <c r="D124" s="262" t="s">
        <v>810</v>
      </c>
      <c r="E124" s="209"/>
      <c r="F124" s="208"/>
      <c r="G124" s="208" t="s">
        <v>9</v>
      </c>
      <c r="H124" s="292">
        <v>161</v>
      </c>
      <c r="I124" s="289"/>
      <c r="J124" s="290"/>
      <c r="K124" s="236">
        <f t="shared" si="25"/>
        <v>0</v>
      </c>
      <c r="L124" s="236">
        <v>0</v>
      </c>
      <c r="M124" s="236">
        <f t="shared" si="26"/>
        <v>0</v>
      </c>
      <c r="N124" s="291">
        <v>161</v>
      </c>
      <c r="O124" s="290"/>
      <c r="P124" s="237">
        <f t="shared" si="27"/>
        <v>28302.039999999986</v>
      </c>
      <c r="Q124" s="242"/>
    </row>
    <row r="125" spans="1:17" ht="14" x14ac:dyDescent="0.2">
      <c r="A125" s="183">
        <v>45964</v>
      </c>
      <c r="B125" s="208" t="s">
        <v>119</v>
      </c>
      <c r="C125" s="288" t="s">
        <v>755</v>
      </c>
      <c r="D125" s="262" t="s">
        <v>810</v>
      </c>
      <c r="E125" s="209"/>
      <c r="F125" s="208"/>
      <c r="G125" s="208" t="s">
        <v>6</v>
      </c>
      <c r="H125" s="292">
        <v>20</v>
      </c>
      <c r="I125" s="289"/>
      <c r="J125" s="290"/>
      <c r="K125" s="236">
        <f t="shared" si="25"/>
        <v>0</v>
      </c>
      <c r="L125" s="236">
        <v>0</v>
      </c>
      <c r="M125" s="236">
        <f t="shared" si="26"/>
        <v>0</v>
      </c>
      <c r="N125" s="291">
        <v>20</v>
      </c>
      <c r="O125" s="290"/>
      <c r="P125" s="237">
        <f t="shared" si="27"/>
        <v>28322.039999999986</v>
      </c>
      <c r="Q125" s="242"/>
    </row>
    <row r="126" spans="1:17" ht="14" x14ac:dyDescent="0.2">
      <c r="A126" s="183">
        <v>45964</v>
      </c>
      <c r="B126" s="208" t="s">
        <v>119</v>
      </c>
      <c r="C126" s="288" t="s">
        <v>756</v>
      </c>
      <c r="D126" s="262" t="s">
        <v>810</v>
      </c>
      <c r="E126" s="209"/>
      <c r="F126" s="208"/>
      <c r="G126" s="208" t="s">
        <v>6</v>
      </c>
      <c r="H126" s="292">
        <v>20</v>
      </c>
      <c r="I126" s="289"/>
      <c r="J126" s="290"/>
      <c r="K126" s="236">
        <f t="shared" si="25"/>
        <v>0</v>
      </c>
      <c r="L126" s="236">
        <v>0</v>
      </c>
      <c r="M126" s="236">
        <f t="shared" si="26"/>
        <v>0</v>
      </c>
      <c r="N126" s="291">
        <v>20</v>
      </c>
      <c r="O126" s="290"/>
      <c r="P126" s="237">
        <f t="shared" si="27"/>
        <v>28342.039999999986</v>
      </c>
      <c r="Q126" s="242"/>
    </row>
    <row r="127" spans="1:17" ht="14" x14ac:dyDescent="0.2">
      <c r="A127" s="183">
        <v>45966</v>
      </c>
      <c r="B127" s="208" t="s">
        <v>507</v>
      </c>
      <c r="C127" s="288" t="s">
        <v>757</v>
      </c>
      <c r="D127" s="262" t="s">
        <v>239</v>
      </c>
      <c r="E127" s="209"/>
      <c r="F127" s="208"/>
      <c r="G127" s="208" t="s">
        <v>156</v>
      </c>
      <c r="H127" s="292"/>
      <c r="I127" s="289">
        <v>75.260000000000005</v>
      </c>
      <c r="J127" s="290"/>
      <c r="K127" s="236">
        <f t="shared" si="25"/>
        <v>75.260000000000005</v>
      </c>
      <c r="L127" s="236">
        <v>0</v>
      </c>
      <c r="M127" s="236">
        <f t="shared" si="26"/>
        <v>75.260000000000005</v>
      </c>
      <c r="N127" s="291">
        <v>-75.260000000000005</v>
      </c>
      <c r="O127" s="290"/>
      <c r="P127" s="237">
        <f t="shared" si="27"/>
        <v>28266.779999999988</v>
      </c>
      <c r="Q127" s="242"/>
    </row>
    <row r="128" spans="1:17" ht="14" x14ac:dyDescent="0.2">
      <c r="A128" s="183">
        <v>45966</v>
      </c>
      <c r="B128" s="208" t="s">
        <v>380</v>
      </c>
      <c r="C128" s="288" t="s">
        <v>758</v>
      </c>
      <c r="D128" s="262" t="s">
        <v>828</v>
      </c>
      <c r="E128" s="209" t="s">
        <v>106</v>
      </c>
      <c r="F128" s="11" t="s">
        <v>844</v>
      </c>
      <c r="G128" s="208" t="s">
        <v>156</v>
      </c>
      <c r="H128" s="292"/>
      <c r="I128" s="289">
        <v>31.99</v>
      </c>
      <c r="J128" s="290"/>
      <c r="K128" s="236">
        <f t="shared" si="25"/>
        <v>31.99</v>
      </c>
      <c r="L128" s="236">
        <v>5.33</v>
      </c>
      <c r="M128" s="236">
        <f t="shared" si="26"/>
        <v>26.659999999999997</v>
      </c>
      <c r="N128" s="291">
        <v>-31.99</v>
      </c>
      <c r="O128" s="290"/>
      <c r="P128" s="237">
        <f t="shared" si="27"/>
        <v>28234.789999999986</v>
      </c>
      <c r="Q128" s="242"/>
    </row>
    <row r="129" spans="1:16" ht="14" x14ac:dyDescent="0.2">
      <c r="A129" s="183">
        <v>45966</v>
      </c>
      <c r="B129" s="208" t="s">
        <v>380</v>
      </c>
      <c r="C129" s="288" t="s">
        <v>759</v>
      </c>
      <c r="D129" s="262">
        <v>488963</v>
      </c>
      <c r="E129" s="209" t="s">
        <v>106</v>
      </c>
      <c r="F129" s="11" t="s">
        <v>844</v>
      </c>
      <c r="G129" s="208" t="s">
        <v>156</v>
      </c>
      <c r="H129" s="292"/>
      <c r="I129" s="289">
        <v>148.68</v>
      </c>
      <c r="J129" s="290"/>
      <c r="K129" s="236">
        <f t="shared" si="25"/>
        <v>148.68</v>
      </c>
      <c r="L129" s="236">
        <v>24.78</v>
      </c>
      <c r="M129" s="236">
        <f t="shared" si="26"/>
        <v>123.9</v>
      </c>
      <c r="N129" s="291">
        <v>-148.68</v>
      </c>
      <c r="O129" s="290"/>
      <c r="P129" s="237">
        <f t="shared" si="27"/>
        <v>28086.109999999986</v>
      </c>
    </row>
    <row r="130" spans="1:16" ht="14" x14ac:dyDescent="0.2">
      <c r="A130" s="183">
        <v>45979</v>
      </c>
      <c r="B130" s="208" t="s">
        <v>766</v>
      </c>
      <c r="C130" s="285" t="s">
        <v>768</v>
      </c>
      <c r="D130" s="262"/>
      <c r="E130" s="239"/>
      <c r="F130" s="240"/>
      <c r="G130" s="208" t="s">
        <v>13</v>
      </c>
      <c r="H130" s="292"/>
      <c r="I130" s="211">
        <v>73.5</v>
      </c>
      <c r="J130" s="290"/>
      <c r="K130" s="236">
        <f t="shared" ref="K130:K148" si="28">I130</f>
        <v>73.5</v>
      </c>
      <c r="L130" s="236">
        <v>0</v>
      </c>
      <c r="M130" s="236">
        <f t="shared" ref="M130:M148" si="29">K130-L130</f>
        <v>73.5</v>
      </c>
      <c r="N130" s="291">
        <v>-421.33</v>
      </c>
      <c r="O130" s="290"/>
      <c r="P130" s="237">
        <f t="shared" si="27"/>
        <v>27664.779999999984</v>
      </c>
    </row>
    <row r="131" spans="1:16" ht="14" x14ac:dyDescent="0.2">
      <c r="A131" s="183">
        <v>45979</v>
      </c>
      <c r="B131" s="208" t="s">
        <v>767</v>
      </c>
      <c r="C131" s="285" t="s">
        <v>769</v>
      </c>
      <c r="D131" s="262"/>
      <c r="E131" s="239"/>
      <c r="F131" s="240"/>
      <c r="G131" s="208" t="s">
        <v>13</v>
      </c>
      <c r="H131" s="292"/>
      <c r="I131" s="211">
        <v>294.14</v>
      </c>
      <c r="J131" s="290"/>
      <c r="K131" s="236">
        <f t="shared" si="28"/>
        <v>294.14</v>
      </c>
      <c r="L131" s="236">
        <v>0</v>
      </c>
      <c r="M131" s="236">
        <f t="shared" si="29"/>
        <v>294.14</v>
      </c>
      <c r="N131" s="291">
        <v>-105</v>
      </c>
      <c r="O131" s="290"/>
      <c r="P131" s="237">
        <f t="shared" si="27"/>
        <v>27559.779999999984</v>
      </c>
    </row>
    <row r="132" spans="1:16" ht="14" x14ac:dyDescent="0.2">
      <c r="A132" s="183">
        <v>45979</v>
      </c>
      <c r="B132" s="184" t="s">
        <v>767</v>
      </c>
      <c r="C132" s="285" t="s">
        <v>770</v>
      </c>
      <c r="D132" s="262"/>
      <c r="E132" s="209"/>
      <c r="F132" s="208"/>
      <c r="G132" s="208" t="s">
        <v>19</v>
      </c>
      <c r="H132" s="292"/>
      <c r="I132" s="211">
        <v>1.1299999999999999</v>
      </c>
      <c r="J132" s="290"/>
      <c r="K132" s="236">
        <f t="shared" si="28"/>
        <v>1.1299999999999999</v>
      </c>
      <c r="L132" s="236">
        <v>0</v>
      </c>
      <c r="M132" s="236">
        <f t="shared" si="29"/>
        <v>1.1299999999999999</v>
      </c>
      <c r="N132" s="291"/>
      <c r="O132" s="290"/>
      <c r="P132" s="237">
        <f t="shared" si="27"/>
        <v>27559.779999999984</v>
      </c>
    </row>
    <row r="133" spans="1:16" ht="14" x14ac:dyDescent="0.2">
      <c r="A133" s="183">
        <v>45979</v>
      </c>
      <c r="B133" s="184" t="s">
        <v>766</v>
      </c>
      <c r="C133" s="285" t="s">
        <v>771</v>
      </c>
      <c r="D133" s="262"/>
      <c r="E133" s="209"/>
      <c r="F133" s="208"/>
      <c r="G133" s="208" t="s">
        <v>17</v>
      </c>
      <c r="H133" s="292"/>
      <c r="I133" s="211">
        <v>31.5</v>
      </c>
      <c r="J133" s="290"/>
      <c r="K133" s="236">
        <f t="shared" si="28"/>
        <v>31.5</v>
      </c>
      <c r="L133" s="236">
        <v>0</v>
      </c>
      <c r="M133" s="236">
        <f t="shared" si="29"/>
        <v>31.5</v>
      </c>
      <c r="N133" s="291"/>
      <c r="O133" s="290"/>
      <c r="P133" s="237">
        <f t="shared" si="27"/>
        <v>27559.779999999984</v>
      </c>
    </row>
    <row r="134" spans="1:16" ht="14" x14ac:dyDescent="0.2">
      <c r="A134" s="183">
        <v>45979</v>
      </c>
      <c r="B134" s="184" t="s">
        <v>767</v>
      </c>
      <c r="C134" s="285" t="s">
        <v>771</v>
      </c>
      <c r="D134" s="262"/>
      <c r="E134" s="209"/>
      <c r="F134" s="208"/>
      <c r="G134" s="208" t="s">
        <v>17</v>
      </c>
      <c r="H134" s="292"/>
      <c r="I134" s="211">
        <v>126.06</v>
      </c>
      <c r="J134" s="290"/>
      <c r="K134" s="236">
        <f t="shared" si="28"/>
        <v>126.06</v>
      </c>
      <c r="L134" s="236">
        <v>0</v>
      </c>
      <c r="M134" s="236">
        <f t="shared" si="29"/>
        <v>126.06</v>
      </c>
      <c r="N134" s="291"/>
      <c r="O134" s="290"/>
      <c r="P134" s="237">
        <f t="shared" si="27"/>
        <v>27559.779999999984</v>
      </c>
    </row>
    <row r="135" spans="1:16" ht="14" x14ac:dyDescent="0.2">
      <c r="A135" s="183">
        <v>45979</v>
      </c>
      <c r="B135" s="184" t="s">
        <v>545</v>
      </c>
      <c r="C135" s="288" t="s">
        <v>617</v>
      </c>
      <c r="D135" s="262">
        <v>469529501</v>
      </c>
      <c r="E135" s="209" t="s">
        <v>106</v>
      </c>
      <c r="F135" s="208"/>
      <c r="G135" s="208" t="s">
        <v>27</v>
      </c>
      <c r="H135" s="292"/>
      <c r="I135" s="289">
        <v>4.25</v>
      </c>
      <c r="J135" s="290"/>
      <c r="K135" s="236">
        <f t="shared" si="28"/>
        <v>4.25</v>
      </c>
      <c r="L135" s="236"/>
      <c r="M135" s="236">
        <f t="shared" si="29"/>
        <v>4.25</v>
      </c>
      <c r="N135" s="291">
        <v>-4.25</v>
      </c>
      <c r="O135" s="290"/>
      <c r="P135" s="237">
        <f t="shared" si="27"/>
        <v>27555.529999999984</v>
      </c>
    </row>
    <row r="136" spans="1:16" ht="14" x14ac:dyDescent="0.2">
      <c r="A136" s="183">
        <v>45985</v>
      </c>
      <c r="B136" s="208" t="s">
        <v>772</v>
      </c>
      <c r="C136" s="288" t="s">
        <v>773</v>
      </c>
      <c r="D136" s="262"/>
      <c r="E136" s="209"/>
      <c r="F136" s="208"/>
      <c r="G136" s="208" t="s">
        <v>630</v>
      </c>
      <c r="H136" s="292"/>
      <c r="I136" s="289">
        <v>112.83</v>
      </c>
      <c r="J136" s="290"/>
      <c r="K136" s="236">
        <f t="shared" si="28"/>
        <v>112.83</v>
      </c>
      <c r="L136" s="236">
        <v>0</v>
      </c>
      <c r="M136" s="236">
        <f t="shared" si="29"/>
        <v>112.83</v>
      </c>
      <c r="N136" s="291">
        <v>-112.83</v>
      </c>
      <c r="O136" s="290"/>
      <c r="P136" s="237">
        <f t="shared" si="27"/>
        <v>27442.699999999983</v>
      </c>
    </row>
    <row r="137" spans="1:16" ht="14" x14ac:dyDescent="0.2">
      <c r="A137" s="183">
        <v>45985</v>
      </c>
      <c r="B137" s="208" t="s">
        <v>577</v>
      </c>
      <c r="C137" s="285" t="s">
        <v>774</v>
      </c>
      <c r="D137" s="262">
        <v>16811</v>
      </c>
      <c r="E137" s="209" t="s">
        <v>106</v>
      </c>
      <c r="F137" s="11" t="s">
        <v>844</v>
      </c>
      <c r="G137" s="208" t="s">
        <v>50</v>
      </c>
      <c r="H137" s="292"/>
      <c r="I137" s="289">
        <v>597.11</v>
      </c>
      <c r="J137" s="290"/>
      <c r="K137" s="236">
        <f t="shared" si="28"/>
        <v>597.11</v>
      </c>
      <c r="L137" s="236">
        <v>99.51</v>
      </c>
      <c r="M137" s="236">
        <f t="shared" si="29"/>
        <v>497.6</v>
      </c>
      <c r="N137" s="291">
        <v>-597.11</v>
      </c>
      <c r="O137" s="290"/>
      <c r="P137" s="237">
        <f t="shared" si="27"/>
        <v>26845.589999999982</v>
      </c>
    </row>
    <row r="138" spans="1:16" ht="14" x14ac:dyDescent="0.2">
      <c r="A138" s="183">
        <v>45985</v>
      </c>
      <c r="B138" s="208" t="s">
        <v>328</v>
      </c>
      <c r="C138" s="288" t="s">
        <v>775</v>
      </c>
      <c r="D138" s="262" t="s">
        <v>829</v>
      </c>
      <c r="E138" s="209" t="s">
        <v>106</v>
      </c>
      <c r="F138" s="11" t="s">
        <v>844</v>
      </c>
      <c r="G138" s="208" t="s">
        <v>19</v>
      </c>
      <c r="H138" s="292"/>
      <c r="I138" s="289">
        <v>95.88</v>
      </c>
      <c r="J138" s="290"/>
      <c r="K138" s="236">
        <f t="shared" si="28"/>
        <v>95.88</v>
      </c>
      <c r="L138" s="236">
        <v>15.98</v>
      </c>
      <c r="M138" s="236">
        <f t="shared" si="29"/>
        <v>79.899999999999991</v>
      </c>
      <c r="N138" s="291">
        <v>-95.88</v>
      </c>
      <c r="O138" s="290"/>
      <c r="P138" s="237">
        <f t="shared" si="27"/>
        <v>26749.709999999981</v>
      </c>
    </row>
    <row r="139" spans="1:16" ht="14" x14ac:dyDescent="0.2">
      <c r="A139" s="183">
        <v>45985</v>
      </c>
      <c r="B139" s="208" t="s">
        <v>328</v>
      </c>
      <c r="C139" s="288" t="s">
        <v>776</v>
      </c>
      <c r="D139" s="262" t="s">
        <v>249</v>
      </c>
      <c r="E139" s="209" t="s">
        <v>106</v>
      </c>
      <c r="F139" s="208" t="s">
        <v>841</v>
      </c>
      <c r="G139" s="208" t="s">
        <v>19</v>
      </c>
      <c r="H139" s="292"/>
      <c r="I139" s="289">
        <v>95.88</v>
      </c>
      <c r="J139" s="290"/>
      <c r="K139" s="236">
        <f t="shared" ref="K139" si="30">I139</f>
        <v>95.88</v>
      </c>
      <c r="L139" s="236"/>
      <c r="M139" s="236">
        <f t="shared" si="29"/>
        <v>95.88</v>
      </c>
      <c r="N139" s="291">
        <v>-191.76</v>
      </c>
      <c r="O139" s="290"/>
      <c r="P139" s="237">
        <f t="shared" si="27"/>
        <v>26557.949999999983</v>
      </c>
    </row>
    <row r="140" spans="1:16" ht="14" x14ac:dyDescent="0.2">
      <c r="A140" s="183">
        <v>45985</v>
      </c>
      <c r="B140" s="208" t="s">
        <v>328</v>
      </c>
      <c r="C140" s="288" t="s">
        <v>777</v>
      </c>
      <c r="D140" s="262" t="s">
        <v>249</v>
      </c>
      <c r="E140" s="209" t="s">
        <v>106</v>
      </c>
      <c r="F140" s="208" t="s">
        <v>841</v>
      </c>
      <c r="G140" s="208" t="s">
        <v>19</v>
      </c>
      <c r="H140" s="292"/>
      <c r="I140" s="289">
        <v>95.88</v>
      </c>
      <c r="J140" s="290"/>
      <c r="K140" s="236">
        <v>95.88</v>
      </c>
      <c r="L140" s="236"/>
      <c r="M140" s="236">
        <f t="shared" si="29"/>
        <v>95.88</v>
      </c>
      <c r="N140" s="291"/>
      <c r="O140" s="290"/>
      <c r="P140" s="237">
        <f t="shared" si="27"/>
        <v>26557.949999999983</v>
      </c>
    </row>
    <row r="141" spans="1:16" ht="14" x14ac:dyDescent="0.2">
      <c r="A141" s="183">
        <v>45985</v>
      </c>
      <c r="B141" s="208" t="s">
        <v>779</v>
      </c>
      <c r="C141" s="288" t="s">
        <v>778</v>
      </c>
      <c r="D141" s="262" t="s">
        <v>830</v>
      </c>
      <c r="E141" s="209" t="s">
        <v>106</v>
      </c>
      <c r="F141" s="11" t="s">
        <v>844</v>
      </c>
      <c r="G141" s="208" t="s">
        <v>19</v>
      </c>
      <c r="H141" s="292"/>
      <c r="I141" s="289">
        <v>11.93</v>
      </c>
      <c r="J141" s="290"/>
      <c r="K141" s="236">
        <v>11.93</v>
      </c>
      <c r="L141" s="236">
        <v>2.65</v>
      </c>
      <c r="M141" s="236">
        <f t="shared" si="29"/>
        <v>9.2799999999999994</v>
      </c>
      <c r="N141" s="291">
        <v>-11.93</v>
      </c>
      <c r="O141" s="290"/>
      <c r="P141" s="237">
        <f t="shared" si="27"/>
        <v>26546.019999999982</v>
      </c>
    </row>
    <row r="142" spans="1:16" ht="14" x14ac:dyDescent="0.2">
      <c r="A142" s="183">
        <v>45985</v>
      </c>
      <c r="B142" s="208" t="s">
        <v>261</v>
      </c>
      <c r="C142" s="288" t="s">
        <v>780</v>
      </c>
      <c r="D142" s="262" t="s">
        <v>831</v>
      </c>
      <c r="E142" s="209" t="s">
        <v>106</v>
      </c>
      <c r="F142" s="11" t="s">
        <v>844</v>
      </c>
      <c r="G142" s="208" t="s">
        <v>150</v>
      </c>
      <c r="H142" s="292"/>
      <c r="I142" s="289">
        <v>321</v>
      </c>
      <c r="J142" s="290"/>
      <c r="K142" s="236">
        <f t="shared" si="28"/>
        <v>321</v>
      </c>
      <c r="L142" s="236">
        <v>53.5</v>
      </c>
      <c r="M142" s="236">
        <f t="shared" si="29"/>
        <v>267.5</v>
      </c>
      <c r="N142" s="291">
        <v>-321</v>
      </c>
      <c r="O142" s="290"/>
      <c r="P142" s="237">
        <f t="shared" si="27"/>
        <v>26225.019999999982</v>
      </c>
    </row>
    <row r="143" spans="1:16" ht="14" x14ac:dyDescent="0.2">
      <c r="A143" s="183">
        <v>45985</v>
      </c>
      <c r="B143" s="208" t="s">
        <v>688</v>
      </c>
      <c r="C143" s="288" t="s">
        <v>781</v>
      </c>
      <c r="D143" s="262">
        <v>34080</v>
      </c>
      <c r="E143" s="209" t="s">
        <v>106</v>
      </c>
      <c r="F143" s="11" t="s">
        <v>844</v>
      </c>
      <c r="G143" s="208" t="s">
        <v>38</v>
      </c>
      <c r="H143" s="292"/>
      <c r="I143" s="289">
        <v>576</v>
      </c>
      <c r="J143" s="290"/>
      <c r="K143" s="236">
        <f t="shared" si="28"/>
        <v>576</v>
      </c>
      <c r="L143" s="236">
        <v>96</v>
      </c>
      <c r="M143" s="236">
        <f t="shared" si="29"/>
        <v>480</v>
      </c>
      <c r="N143" s="291">
        <v>-576</v>
      </c>
      <c r="O143" s="290"/>
      <c r="P143" s="237">
        <f t="shared" si="27"/>
        <v>25649.019999999982</v>
      </c>
    </row>
    <row r="144" spans="1:16" ht="14" x14ac:dyDescent="0.2">
      <c r="A144" s="183">
        <v>45985</v>
      </c>
      <c r="B144" s="208" t="s">
        <v>528</v>
      </c>
      <c r="C144" s="288" t="s">
        <v>782</v>
      </c>
      <c r="D144" s="262" t="s">
        <v>249</v>
      </c>
      <c r="E144" s="209" t="s">
        <v>106</v>
      </c>
      <c r="F144" s="11" t="s">
        <v>844</v>
      </c>
      <c r="G144" s="208" t="s">
        <v>150</v>
      </c>
      <c r="H144" s="292"/>
      <c r="I144" s="289">
        <v>53.62</v>
      </c>
      <c r="J144" s="290"/>
      <c r="K144" s="236">
        <f t="shared" si="28"/>
        <v>53.62</v>
      </c>
      <c r="L144" s="236">
        <v>7.35</v>
      </c>
      <c r="M144" s="236">
        <f t="shared" si="29"/>
        <v>46.269999999999996</v>
      </c>
      <c r="N144" s="291">
        <v>-53.62</v>
      </c>
      <c r="O144" s="290"/>
      <c r="P144" s="237">
        <f t="shared" si="27"/>
        <v>25595.399999999983</v>
      </c>
    </row>
    <row r="145" spans="1:17" ht="14" x14ac:dyDescent="0.2">
      <c r="A145" s="183">
        <v>45992</v>
      </c>
      <c r="B145" s="208" t="s">
        <v>119</v>
      </c>
      <c r="C145" s="288" t="s">
        <v>783</v>
      </c>
      <c r="D145" s="262" t="s">
        <v>819</v>
      </c>
      <c r="E145" s="209"/>
      <c r="F145" s="208"/>
      <c r="G145" s="208" t="s">
        <v>9</v>
      </c>
      <c r="H145" s="292">
        <v>90</v>
      </c>
      <c r="I145" s="289"/>
      <c r="J145" s="290"/>
      <c r="K145" s="236">
        <f t="shared" ref="K145:K146" si="31">I145</f>
        <v>0</v>
      </c>
      <c r="L145" s="236">
        <v>0</v>
      </c>
      <c r="M145" s="236">
        <f t="shared" ref="M145:M146" si="32">K145-L145</f>
        <v>0</v>
      </c>
      <c r="N145" s="291">
        <v>90</v>
      </c>
      <c r="O145" s="290"/>
      <c r="P145" s="237">
        <f t="shared" si="27"/>
        <v>25685.399999999983</v>
      </c>
    </row>
    <row r="146" spans="1:17" ht="14" x14ac:dyDescent="0.2">
      <c r="A146" s="183">
        <v>45992</v>
      </c>
      <c r="B146" s="208" t="s">
        <v>119</v>
      </c>
      <c r="C146" s="288" t="s">
        <v>784</v>
      </c>
      <c r="D146" s="262" t="s">
        <v>819</v>
      </c>
      <c r="E146" s="209"/>
      <c r="F146" s="208"/>
      <c r="G146" s="208" t="s">
        <v>6</v>
      </c>
      <c r="H146" s="292">
        <v>20</v>
      </c>
      <c r="I146" s="289"/>
      <c r="J146" s="290"/>
      <c r="K146" s="236">
        <f t="shared" si="31"/>
        <v>0</v>
      </c>
      <c r="L146" s="236">
        <v>0</v>
      </c>
      <c r="M146" s="236">
        <f t="shared" si="32"/>
        <v>0</v>
      </c>
      <c r="N146" s="291">
        <v>20</v>
      </c>
      <c r="O146" s="290"/>
      <c r="P146" s="237">
        <f t="shared" si="27"/>
        <v>25705.399999999983</v>
      </c>
    </row>
    <row r="147" spans="1:17" ht="15" customHeight="1" x14ac:dyDescent="0.2">
      <c r="A147" s="183">
        <v>45993</v>
      </c>
      <c r="B147" s="208" t="s">
        <v>312</v>
      </c>
      <c r="C147" s="288" t="s">
        <v>509</v>
      </c>
      <c r="D147" s="262">
        <v>1164</v>
      </c>
      <c r="E147" s="209" t="s">
        <v>106</v>
      </c>
      <c r="F147" s="11" t="s">
        <v>844</v>
      </c>
      <c r="G147" s="208" t="s">
        <v>56</v>
      </c>
      <c r="H147" s="292"/>
      <c r="I147" s="289">
        <v>1920</v>
      </c>
      <c r="J147" s="290"/>
      <c r="K147" s="236">
        <f t="shared" si="28"/>
        <v>1920</v>
      </c>
      <c r="L147" s="236">
        <v>320</v>
      </c>
      <c r="M147" s="236">
        <f t="shared" si="29"/>
        <v>1600</v>
      </c>
      <c r="N147" s="291">
        <v>-1920</v>
      </c>
      <c r="O147" s="290"/>
      <c r="P147" s="237">
        <f t="shared" si="27"/>
        <v>23785.399999999983</v>
      </c>
      <c r="Q147" s="242"/>
    </row>
    <row r="148" spans="1:17" ht="14" x14ac:dyDescent="0.2">
      <c r="A148" s="183">
        <v>45993</v>
      </c>
      <c r="B148" s="208" t="s">
        <v>312</v>
      </c>
      <c r="C148" s="288" t="s">
        <v>785</v>
      </c>
      <c r="D148" s="262">
        <v>1163</v>
      </c>
      <c r="E148" s="209" t="s">
        <v>106</v>
      </c>
      <c r="F148" s="11" t="s">
        <v>844</v>
      </c>
      <c r="G148" s="208" t="s">
        <v>56</v>
      </c>
      <c r="H148" s="292"/>
      <c r="I148" s="289">
        <v>660</v>
      </c>
      <c r="J148" s="290"/>
      <c r="K148" s="236">
        <f t="shared" si="28"/>
        <v>660</v>
      </c>
      <c r="L148" s="236">
        <v>110</v>
      </c>
      <c r="M148" s="236">
        <f t="shared" si="29"/>
        <v>550</v>
      </c>
      <c r="N148" s="291">
        <v>-660</v>
      </c>
      <c r="O148" s="290"/>
      <c r="P148" s="237">
        <f t="shared" si="27"/>
        <v>23125.399999999983</v>
      </c>
      <c r="Q148" s="214"/>
    </row>
    <row r="149" spans="1:17" ht="14" x14ac:dyDescent="0.2">
      <c r="A149" s="268">
        <v>46002</v>
      </c>
      <c r="B149" s="208" t="s">
        <v>119</v>
      </c>
      <c r="C149" s="288" t="s">
        <v>795</v>
      </c>
      <c r="D149" s="262" t="s">
        <v>820</v>
      </c>
      <c r="E149" s="209"/>
      <c r="F149" s="208"/>
      <c r="G149" s="208" t="s">
        <v>9</v>
      </c>
      <c r="H149" s="292">
        <v>150</v>
      </c>
      <c r="I149" s="289"/>
      <c r="J149" s="290"/>
      <c r="K149" s="236"/>
      <c r="L149" s="236"/>
      <c r="M149" s="236"/>
      <c r="N149" s="291">
        <v>150</v>
      </c>
      <c r="O149" s="290"/>
      <c r="P149" s="237">
        <f t="shared" si="27"/>
        <v>23275.399999999983</v>
      </c>
      <c r="Q149" s="242"/>
    </row>
    <row r="150" spans="1:17" ht="14" x14ac:dyDescent="0.2">
      <c r="A150" s="268">
        <v>46006</v>
      </c>
      <c r="B150" s="208" t="s">
        <v>788</v>
      </c>
      <c r="C150" s="285" t="s">
        <v>790</v>
      </c>
      <c r="D150" s="262"/>
      <c r="E150" s="239"/>
      <c r="F150" s="240"/>
      <c r="G150" s="208" t="s">
        <v>13</v>
      </c>
      <c r="H150" s="292"/>
      <c r="I150" s="211">
        <v>73.5</v>
      </c>
      <c r="J150" s="290"/>
      <c r="K150" s="236">
        <f t="shared" ref="K150" si="33">I150</f>
        <v>73.5</v>
      </c>
      <c r="L150" s="236">
        <v>0</v>
      </c>
      <c r="M150" s="236">
        <f t="shared" ref="M150" si="34">K150-L150</f>
        <v>73.5</v>
      </c>
      <c r="N150" s="291">
        <v>-105</v>
      </c>
      <c r="O150" s="290"/>
      <c r="P150" s="237">
        <f t="shared" si="27"/>
        <v>23170.399999999983</v>
      </c>
      <c r="Q150" s="242"/>
    </row>
    <row r="151" spans="1:17" ht="14" x14ac:dyDescent="0.2">
      <c r="A151" s="268">
        <v>46006</v>
      </c>
      <c r="B151" s="208" t="s">
        <v>789</v>
      </c>
      <c r="C151" s="285" t="s">
        <v>791</v>
      </c>
      <c r="D151" s="262"/>
      <c r="E151" s="239"/>
      <c r="F151" s="240"/>
      <c r="G151" s="208" t="s">
        <v>13</v>
      </c>
      <c r="H151" s="292"/>
      <c r="I151" s="211">
        <v>294.14</v>
      </c>
      <c r="J151" s="290"/>
      <c r="K151" s="236">
        <f t="shared" ref="K151:K172" si="35">I151</f>
        <v>294.14</v>
      </c>
      <c r="L151" s="236">
        <v>0</v>
      </c>
      <c r="M151" s="236">
        <f t="shared" ref="M151:M172" si="36">K151-L151</f>
        <v>294.14</v>
      </c>
      <c r="N151" s="291">
        <v>-434.15</v>
      </c>
      <c r="O151" s="290"/>
      <c r="P151" s="237">
        <f t="shared" si="27"/>
        <v>22736.249999999982</v>
      </c>
      <c r="Q151" s="242"/>
    </row>
    <row r="152" spans="1:17" ht="14" x14ac:dyDescent="0.2">
      <c r="A152" s="268">
        <v>46006</v>
      </c>
      <c r="B152" s="184" t="s">
        <v>789</v>
      </c>
      <c r="C152" s="285" t="s">
        <v>792</v>
      </c>
      <c r="D152" s="262"/>
      <c r="E152" s="209"/>
      <c r="F152" s="208"/>
      <c r="G152" s="208" t="s">
        <v>19</v>
      </c>
      <c r="H152" s="292"/>
      <c r="I152" s="211">
        <v>13.95</v>
      </c>
      <c r="J152" s="290"/>
      <c r="K152" s="236">
        <f t="shared" si="35"/>
        <v>13.95</v>
      </c>
      <c r="L152" s="236">
        <v>0</v>
      </c>
      <c r="M152" s="236">
        <f t="shared" si="36"/>
        <v>13.95</v>
      </c>
      <c r="N152" s="291"/>
      <c r="O152" s="290"/>
      <c r="P152" s="237">
        <f t="shared" si="27"/>
        <v>22736.249999999982</v>
      </c>
      <c r="Q152" s="242"/>
    </row>
    <row r="153" spans="1:17" ht="14" x14ac:dyDescent="0.2">
      <c r="A153" s="268">
        <v>46006</v>
      </c>
      <c r="B153" s="184" t="s">
        <v>788</v>
      </c>
      <c r="C153" s="285" t="s">
        <v>793</v>
      </c>
      <c r="D153" s="262"/>
      <c r="E153" s="209"/>
      <c r="F153" s="208"/>
      <c r="G153" s="208" t="s">
        <v>17</v>
      </c>
      <c r="H153" s="292"/>
      <c r="I153" s="211">
        <v>31.5</v>
      </c>
      <c r="J153" s="290"/>
      <c r="K153" s="236">
        <f t="shared" si="35"/>
        <v>31.5</v>
      </c>
      <c r="L153" s="236">
        <v>0</v>
      </c>
      <c r="M153" s="236">
        <f t="shared" si="36"/>
        <v>31.5</v>
      </c>
      <c r="N153" s="291"/>
      <c r="O153" s="290"/>
      <c r="P153" s="237">
        <f t="shared" si="27"/>
        <v>22736.249999999982</v>
      </c>
      <c r="Q153" s="242"/>
    </row>
    <row r="154" spans="1:17" ht="14" x14ac:dyDescent="0.2">
      <c r="A154" s="268">
        <v>46006</v>
      </c>
      <c r="B154" s="184" t="s">
        <v>789</v>
      </c>
      <c r="C154" s="285" t="s">
        <v>793</v>
      </c>
      <c r="D154" s="262"/>
      <c r="E154" s="209"/>
      <c r="F154" s="208"/>
      <c r="G154" s="208" t="s">
        <v>17</v>
      </c>
      <c r="H154" s="292"/>
      <c r="I154" s="211">
        <v>126.06</v>
      </c>
      <c r="J154" s="290"/>
      <c r="K154" s="236">
        <f t="shared" si="35"/>
        <v>126.06</v>
      </c>
      <c r="L154" s="236">
        <v>0</v>
      </c>
      <c r="M154" s="236">
        <f t="shared" si="36"/>
        <v>126.06</v>
      </c>
      <c r="N154" s="291"/>
      <c r="O154" s="290"/>
      <c r="P154" s="237">
        <f t="shared" si="27"/>
        <v>22736.249999999982</v>
      </c>
      <c r="Q154" s="242"/>
    </row>
    <row r="155" spans="1:17" ht="14" x14ac:dyDescent="0.2">
      <c r="A155" s="268">
        <v>46006</v>
      </c>
      <c r="B155" s="208" t="s">
        <v>772</v>
      </c>
      <c r="C155" s="288" t="s">
        <v>794</v>
      </c>
      <c r="D155" s="262"/>
      <c r="E155" s="209"/>
      <c r="F155" s="208"/>
      <c r="G155" s="208" t="s">
        <v>630</v>
      </c>
      <c r="H155" s="292"/>
      <c r="I155" s="289">
        <v>32.46</v>
      </c>
      <c r="J155" s="290"/>
      <c r="K155" s="236">
        <f t="shared" si="35"/>
        <v>32.46</v>
      </c>
      <c r="L155" s="236">
        <v>0</v>
      </c>
      <c r="M155" s="236">
        <f t="shared" si="36"/>
        <v>32.46</v>
      </c>
      <c r="N155" s="291">
        <v>-32.46</v>
      </c>
      <c r="O155" s="290"/>
      <c r="P155" s="237">
        <f t="shared" si="27"/>
        <v>22703.789999999983</v>
      </c>
      <c r="Q155" s="242"/>
    </row>
    <row r="156" spans="1:17" ht="14" x14ac:dyDescent="0.2">
      <c r="A156" s="268">
        <v>46006</v>
      </c>
      <c r="B156" s="208" t="s">
        <v>328</v>
      </c>
      <c r="C156" s="288" t="s">
        <v>796</v>
      </c>
      <c r="D156" s="262" t="s">
        <v>249</v>
      </c>
      <c r="E156" s="209" t="s">
        <v>106</v>
      </c>
      <c r="F156" s="11" t="s">
        <v>844</v>
      </c>
      <c r="G156" s="208" t="s">
        <v>148</v>
      </c>
      <c r="H156" s="292"/>
      <c r="I156" s="289">
        <v>9.69</v>
      </c>
      <c r="J156" s="290"/>
      <c r="K156" s="236">
        <f t="shared" si="35"/>
        <v>9.69</v>
      </c>
      <c r="L156" s="236">
        <v>1.61</v>
      </c>
      <c r="M156" s="236">
        <f t="shared" si="36"/>
        <v>8.08</v>
      </c>
      <c r="N156" s="291">
        <v>-9.69</v>
      </c>
      <c r="O156" s="290"/>
      <c r="P156" s="237">
        <f t="shared" si="27"/>
        <v>22694.099999999984</v>
      </c>
      <c r="Q156" s="242"/>
    </row>
    <row r="157" spans="1:17" ht="14" x14ac:dyDescent="0.2">
      <c r="A157" s="268">
        <v>46006</v>
      </c>
      <c r="B157" s="208" t="s">
        <v>328</v>
      </c>
      <c r="C157" s="288" t="s">
        <v>797</v>
      </c>
      <c r="D157" s="262" t="s">
        <v>833</v>
      </c>
      <c r="E157" s="209" t="s">
        <v>106</v>
      </c>
      <c r="F157" s="11" t="s">
        <v>844</v>
      </c>
      <c r="G157" s="208" t="s">
        <v>61</v>
      </c>
      <c r="H157" s="292"/>
      <c r="I157" s="289">
        <v>75.180000000000007</v>
      </c>
      <c r="J157" s="290"/>
      <c r="K157" s="236">
        <f t="shared" si="35"/>
        <v>75.180000000000007</v>
      </c>
      <c r="L157" s="236">
        <v>12.53</v>
      </c>
      <c r="M157" s="236">
        <f t="shared" si="36"/>
        <v>62.650000000000006</v>
      </c>
      <c r="N157" s="291">
        <v>-75.180000000000007</v>
      </c>
      <c r="O157" s="290"/>
      <c r="P157" s="237">
        <f t="shared" si="27"/>
        <v>22618.919999999984</v>
      </c>
      <c r="Q157" s="242"/>
    </row>
    <row r="158" spans="1:17" ht="14" x14ac:dyDescent="0.2">
      <c r="A158" s="268">
        <v>46006</v>
      </c>
      <c r="B158" s="208" t="s">
        <v>485</v>
      </c>
      <c r="C158" s="288" t="s">
        <v>798</v>
      </c>
      <c r="D158" s="262">
        <v>1720</v>
      </c>
      <c r="E158" s="209" t="s">
        <v>106</v>
      </c>
      <c r="F158" s="11" t="s">
        <v>844</v>
      </c>
      <c r="G158" s="208" t="s">
        <v>25</v>
      </c>
      <c r="H158" s="292"/>
      <c r="I158" s="289">
        <v>273</v>
      </c>
      <c r="J158" s="290"/>
      <c r="K158" s="236">
        <f t="shared" si="35"/>
        <v>273</v>
      </c>
      <c r="L158" s="236">
        <v>45.5</v>
      </c>
      <c r="M158" s="236">
        <f t="shared" si="36"/>
        <v>227.5</v>
      </c>
      <c r="N158" s="291">
        <v>-273</v>
      </c>
      <c r="O158" s="290"/>
      <c r="P158" s="237">
        <f t="shared" si="27"/>
        <v>22345.919999999984</v>
      </c>
      <c r="Q158" s="242"/>
    </row>
    <row r="159" spans="1:17" ht="27" customHeight="1" x14ac:dyDescent="0.2">
      <c r="A159" s="268">
        <v>46010</v>
      </c>
      <c r="B159" s="208" t="s">
        <v>528</v>
      </c>
      <c r="C159" s="288" t="s">
        <v>799</v>
      </c>
      <c r="D159" s="285" t="s">
        <v>800</v>
      </c>
      <c r="E159" s="209"/>
      <c r="F159" s="208"/>
      <c r="G159" s="208" t="s">
        <v>61</v>
      </c>
      <c r="H159" s="292"/>
      <c r="I159" s="289">
        <v>12.65</v>
      </c>
      <c r="J159" s="290"/>
      <c r="K159" s="236">
        <f t="shared" si="35"/>
        <v>12.65</v>
      </c>
      <c r="L159" s="236">
        <v>0</v>
      </c>
      <c r="M159" s="236">
        <f t="shared" si="36"/>
        <v>12.65</v>
      </c>
      <c r="N159" s="291">
        <v>-12.65</v>
      </c>
      <c r="O159" s="290"/>
      <c r="P159" s="237">
        <f t="shared" si="27"/>
        <v>22333.269999999982</v>
      </c>
      <c r="Q159" s="242"/>
    </row>
    <row r="160" spans="1:17" ht="28" x14ac:dyDescent="0.2">
      <c r="A160" s="268">
        <v>46010</v>
      </c>
      <c r="B160" s="208" t="s">
        <v>507</v>
      </c>
      <c r="C160" s="288" t="s">
        <v>801</v>
      </c>
      <c r="D160" s="262" t="s">
        <v>832</v>
      </c>
      <c r="E160" s="209" t="s">
        <v>106</v>
      </c>
      <c r="F160" s="208"/>
      <c r="G160" s="208" t="s">
        <v>477</v>
      </c>
      <c r="H160" s="292"/>
      <c r="I160" s="289">
        <v>30</v>
      </c>
      <c r="J160" s="290"/>
      <c r="K160" s="236">
        <f t="shared" si="35"/>
        <v>30</v>
      </c>
      <c r="L160" s="236">
        <v>0</v>
      </c>
      <c r="M160" s="236">
        <f t="shared" si="36"/>
        <v>30</v>
      </c>
      <c r="N160" s="291">
        <v>-30</v>
      </c>
      <c r="O160" s="290"/>
      <c r="P160" s="237">
        <f t="shared" si="27"/>
        <v>22303.269999999982</v>
      </c>
      <c r="Q160" s="242"/>
    </row>
    <row r="161" spans="1:17" ht="14" x14ac:dyDescent="0.2">
      <c r="A161" s="268">
        <v>46010</v>
      </c>
      <c r="B161" s="184" t="s">
        <v>545</v>
      </c>
      <c r="C161" s="288" t="s">
        <v>617</v>
      </c>
      <c r="D161" s="262">
        <v>471735820</v>
      </c>
      <c r="E161" s="209" t="s">
        <v>106</v>
      </c>
      <c r="F161" s="208"/>
      <c r="G161" s="208" t="s">
        <v>27</v>
      </c>
      <c r="H161" s="292"/>
      <c r="I161" s="289">
        <v>4.25</v>
      </c>
      <c r="J161" s="290"/>
      <c r="K161" s="236">
        <f t="shared" si="35"/>
        <v>4.25</v>
      </c>
      <c r="L161" s="236">
        <v>0</v>
      </c>
      <c r="M161" s="236">
        <f t="shared" si="36"/>
        <v>4.25</v>
      </c>
      <c r="N161" s="291">
        <v>-4.25</v>
      </c>
      <c r="O161" s="290"/>
      <c r="P161" s="237">
        <f t="shared" si="27"/>
        <v>22299.019999999982</v>
      </c>
      <c r="Q161" s="242" t="s">
        <v>845</v>
      </c>
    </row>
    <row r="162" spans="1:17" ht="14" x14ac:dyDescent="0.2">
      <c r="A162" s="268">
        <v>46027</v>
      </c>
      <c r="B162" s="208" t="s">
        <v>803</v>
      </c>
      <c r="C162" s="288" t="s">
        <v>804</v>
      </c>
      <c r="D162" s="262">
        <v>9342</v>
      </c>
      <c r="E162" s="209" t="s">
        <v>106</v>
      </c>
      <c r="F162" s="208"/>
      <c r="G162" s="208" t="s">
        <v>51</v>
      </c>
      <c r="H162" s="292"/>
      <c r="I162" s="289">
        <v>427.2</v>
      </c>
      <c r="J162" s="290"/>
      <c r="K162" s="236">
        <v>427.2</v>
      </c>
      <c r="L162" s="236">
        <v>71.2</v>
      </c>
      <c r="M162" s="236">
        <f t="shared" si="36"/>
        <v>356</v>
      </c>
      <c r="N162" s="291">
        <v>-427.2</v>
      </c>
      <c r="O162" s="290"/>
      <c r="P162" s="237">
        <f t="shared" si="27"/>
        <v>21871.819999999982</v>
      </c>
      <c r="Q162" s="242"/>
    </row>
    <row r="163" spans="1:17" ht="14" x14ac:dyDescent="0.2">
      <c r="A163" s="268">
        <v>46027</v>
      </c>
      <c r="B163" s="208" t="s">
        <v>296</v>
      </c>
      <c r="C163" s="288" t="s">
        <v>805</v>
      </c>
      <c r="D163" s="293" t="s">
        <v>806</v>
      </c>
      <c r="E163" s="209" t="s">
        <v>106</v>
      </c>
      <c r="F163" s="208"/>
      <c r="G163" s="208" t="s">
        <v>44</v>
      </c>
      <c r="H163" s="292"/>
      <c r="I163" s="289">
        <v>425.25</v>
      </c>
      <c r="J163" s="290"/>
      <c r="K163" s="236">
        <v>425.25</v>
      </c>
      <c r="L163" s="236">
        <v>0</v>
      </c>
      <c r="M163" s="236">
        <f t="shared" si="36"/>
        <v>425.25</v>
      </c>
      <c r="N163" s="291">
        <v>-425.25</v>
      </c>
      <c r="O163" s="290"/>
      <c r="P163" s="237">
        <f t="shared" si="27"/>
        <v>21446.569999999982</v>
      </c>
      <c r="Q163" s="242" t="s">
        <v>846</v>
      </c>
    </row>
    <row r="164" spans="1:17" x14ac:dyDescent="0.2">
      <c r="A164" s="268"/>
      <c r="B164" s="208"/>
      <c r="C164" s="288"/>
      <c r="D164" s="262"/>
      <c r="E164" s="209"/>
      <c r="F164" s="208"/>
      <c r="G164" s="208"/>
      <c r="H164" s="292"/>
      <c r="I164" s="289"/>
      <c r="J164" s="290"/>
      <c r="K164" s="236">
        <f t="shared" si="35"/>
        <v>0</v>
      </c>
      <c r="L164" s="236">
        <v>0</v>
      </c>
      <c r="M164" s="236">
        <f t="shared" si="36"/>
        <v>0</v>
      </c>
      <c r="N164" s="291"/>
      <c r="O164" s="290"/>
      <c r="P164" s="237">
        <f t="shared" si="27"/>
        <v>21446.569999999982</v>
      </c>
      <c r="Q164" s="242"/>
    </row>
    <row r="165" spans="1:17" x14ac:dyDescent="0.2">
      <c r="A165" s="268"/>
      <c r="B165" s="208"/>
      <c r="C165" s="288"/>
      <c r="D165" s="262"/>
      <c r="E165" s="209"/>
      <c r="F165" s="208"/>
      <c r="G165" s="208"/>
      <c r="H165" s="292"/>
      <c r="I165" s="289"/>
      <c r="J165" s="290"/>
      <c r="K165" s="236">
        <f t="shared" si="35"/>
        <v>0</v>
      </c>
      <c r="L165" s="236">
        <v>0</v>
      </c>
      <c r="M165" s="236">
        <f t="shared" si="36"/>
        <v>0</v>
      </c>
      <c r="N165" s="291"/>
      <c r="O165" s="290"/>
      <c r="P165" s="237">
        <f t="shared" si="27"/>
        <v>21446.569999999982</v>
      </c>
      <c r="Q165" s="242"/>
    </row>
    <row r="166" spans="1:17" x14ac:dyDescent="0.2">
      <c r="A166" s="268"/>
      <c r="B166" s="208"/>
      <c r="C166" s="288"/>
      <c r="D166" s="262"/>
      <c r="E166" s="209"/>
      <c r="F166" s="208"/>
      <c r="G166" s="208"/>
      <c r="H166" s="292"/>
      <c r="I166" s="289"/>
      <c r="J166" s="290"/>
      <c r="K166" s="236">
        <f t="shared" si="35"/>
        <v>0</v>
      </c>
      <c r="L166" s="236">
        <v>0</v>
      </c>
      <c r="M166" s="236">
        <f t="shared" si="36"/>
        <v>0</v>
      </c>
      <c r="N166" s="291"/>
      <c r="O166" s="290"/>
      <c r="P166" s="237">
        <f t="shared" si="27"/>
        <v>21446.569999999982</v>
      </c>
      <c r="Q166" s="242"/>
    </row>
    <row r="167" spans="1:17" x14ac:dyDescent="0.2">
      <c r="A167" s="268"/>
      <c r="B167" s="208"/>
      <c r="C167" s="288"/>
      <c r="D167" s="262"/>
      <c r="E167" s="209"/>
      <c r="F167" s="208"/>
      <c r="G167" s="208"/>
      <c r="H167" s="292"/>
      <c r="I167" s="289"/>
      <c r="J167" s="290"/>
      <c r="K167" s="236">
        <f t="shared" si="35"/>
        <v>0</v>
      </c>
      <c r="L167" s="236">
        <v>0</v>
      </c>
      <c r="M167" s="236">
        <f t="shared" si="36"/>
        <v>0</v>
      </c>
      <c r="N167" s="291"/>
      <c r="O167" s="290"/>
      <c r="P167" s="237">
        <f t="shared" si="27"/>
        <v>21446.569999999982</v>
      </c>
      <c r="Q167" s="242"/>
    </row>
    <row r="168" spans="1:17" x14ac:dyDescent="0.2">
      <c r="A168" s="268"/>
      <c r="B168" s="208"/>
      <c r="C168" s="288"/>
      <c r="D168" s="262"/>
      <c r="E168" s="209"/>
      <c r="F168" s="208"/>
      <c r="G168" s="208"/>
      <c r="H168" s="292"/>
      <c r="I168" s="289"/>
      <c r="J168" s="290"/>
      <c r="K168" s="236">
        <f t="shared" si="35"/>
        <v>0</v>
      </c>
      <c r="L168" s="236">
        <v>0</v>
      </c>
      <c r="M168" s="236">
        <f t="shared" si="36"/>
        <v>0</v>
      </c>
      <c r="N168" s="291"/>
      <c r="O168" s="290"/>
      <c r="P168" s="237">
        <f t="shared" si="27"/>
        <v>21446.569999999982</v>
      </c>
      <c r="Q168" s="242"/>
    </row>
    <row r="169" spans="1:17" x14ac:dyDescent="0.2">
      <c r="A169" s="268"/>
      <c r="B169" s="208"/>
      <c r="C169" s="288"/>
      <c r="D169" s="262"/>
      <c r="E169" s="209"/>
      <c r="F169" s="208"/>
      <c r="G169" s="208"/>
      <c r="H169" s="292"/>
      <c r="I169" s="289"/>
      <c r="J169" s="290"/>
      <c r="K169" s="236">
        <f t="shared" si="35"/>
        <v>0</v>
      </c>
      <c r="L169" s="236">
        <v>0</v>
      </c>
      <c r="M169" s="236">
        <f t="shared" si="36"/>
        <v>0</v>
      </c>
      <c r="N169" s="291"/>
      <c r="O169" s="290"/>
      <c r="P169" s="237">
        <f t="shared" si="27"/>
        <v>21446.569999999982</v>
      </c>
      <c r="Q169" s="242"/>
    </row>
    <row r="170" spans="1:17" x14ac:dyDescent="0.2">
      <c r="A170" s="268"/>
      <c r="B170" s="208"/>
      <c r="C170" s="288"/>
      <c r="D170" s="262"/>
      <c r="E170" s="209"/>
      <c r="F170" s="208"/>
      <c r="G170" s="208"/>
      <c r="H170" s="292"/>
      <c r="I170" s="289"/>
      <c r="J170" s="290"/>
      <c r="K170" s="236">
        <f t="shared" si="35"/>
        <v>0</v>
      </c>
      <c r="L170" s="236">
        <v>0</v>
      </c>
      <c r="M170" s="236">
        <f t="shared" si="36"/>
        <v>0</v>
      </c>
      <c r="N170" s="291"/>
      <c r="O170" s="290"/>
      <c r="P170" s="237">
        <f t="shared" si="27"/>
        <v>21446.569999999982</v>
      </c>
      <c r="Q170" s="242"/>
    </row>
    <row r="171" spans="1:17" x14ac:dyDescent="0.2">
      <c r="A171" s="268"/>
      <c r="B171" s="208"/>
      <c r="C171" s="288"/>
      <c r="D171" s="262"/>
      <c r="E171" s="209"/>
      <c r="F171" s="208"/>
      <c r="G171" s="208"/>
      <c r="H171" s="292"/>
      <c r="I171" s="289"/>
      <c r="J171" s="290"/>
      <c r="K171" s="236">
        <f t="shared" si="35"/>
        <v>0</v>
      </c>
      <c r="L171" s="236">
        <v>0</v>
      </c>
      <c r="M171" s="236">
        <f t="shared" si="36"/>
        <v>0</v>
      </c>
      <c r="N171" s="291"/>
      <c r="O171" s="290"/>
      <c r="P171" s="237">
        <f t="shared" si="27"/>
        <v>21446.569999999982</v>
      </c>
      <c r="Q171" s="242"/>
    </row>
    <row r="172" spans="1:17" x14ac:dyDescent="0.2">
      <c r="A172" s="268"/>
      <c r="B172" s="208"/>
      <c r="C172" s="288"/>
      <c r="D172" s="262"/>
      <c r="E172" s="209"/>
      <c r="F172" s="208"/>
      <c r="G172" s="208"/>
      <c r="H172" s="292"/>
      <c r="I172" s="289"/>
      <c r="J172" s="290"/>
      <c r="K172" s="236">
        <f t="shared" si="35"/>
        <v>0</v>
      </c>
      <c r="L172" s="236">
        <v>0</v>
      </c>
      <c r="M172" s="236">
        <f t="shared" si="36"/>
        <v>0</v>
      </c>
      <c r="N172" s="291"/>
      <c r="O172" s="290"/>
      <c r="P172" s="237">
        <f t="shared" si="27"/>
        <v>21446.569999999982</v>
      </c>
      <c r="Q172" s="242"/>
    </row>
    <row r="173" spans="1:17" x14ac:dyDescent="0.2">
      <c r="A173" s="183"/>
      <c r="B173" s="208"/>
      <c r="C173" s="288"/>
      <c r="D173" s="262"/>
      <c r="E173" s="209"/>
      <c r="F173" s="208"/>
      <c r="G173" s="208"/>
      <c r="H173" s="267">
        <f>SUM(H24:H172)</f>
        <v>28165.879999999997</v>
      </c>
      <c r="I173" s="267">
        <f t="shared" ref="I173:M173" si="37">SUM(I24:I172)</f>
        <v>21906.379999999997</v>
      </c>
      <c r="J173" s="267">
        <f t="shared" si="37"/>
        <v>0</v>
      </c>
      <c r="K173" s="267">
        <f t="shared" si="37"/>
        <v>21906.379999999997</v>
      </c>
      <c r="L173" s="267">
        <f t="shared" si="37"/>
        <v>2154.6099999999997</v>
      </c>
      <c r="M173" s="267">
        <f t="shared" si="37"/>
        <v>19751.769999999997</v>
      </c>
      <c r="N173" s="258"/>
      <c r="O173" s="258"/>
      <c r="P173" s="258"/>
      <c r="Q173" s="259"/>
    </row>
    <row r="174" spans="1:17" x14ac:dyDescent="0.2">
      <c r="A174" s="183"/>
      <c r="B174" s="208"/>
      <c r="C174" s="288"/>
      <c r="D174" s="262"/>
      <c r="E174" s="209"/>
      <c r="F174" s="208"/>
      <c r="G174" s="208"/>
      <c r="H174" s="260"/>
      <c r="I174" s="211"/>
      <c r="J174" s="261"/>
      <c r="K174" s="236"/>
      <c r="L174" s="236"/>
      <c r="M174" s="236"/>
      <c r="N174" s="237"/>
      <c r="O174" s="241"/>
      <c r="P174" s="241"/>
    </row>
    <row r="175" spans="1:17" x14ac:dyDescent="0.2">
      <c r="A175" s="183"/>
      <c r="B175" s="208"/>
      <c r="C175" s="288"/>
      <c r="D175" s="262"/>
      <c r="E175" s="209"/>
      <c r="F175" s="208"/>
      <c r="G175" s="208"/>
      <c r="H175" s="257"/>
      <c r="I175" s="211"/>
      <c r="J175" s="241"/>
      <c r="K175" s="296">
        <f>K173-I173</f>
        <v>0</v>
      </c>
      <c r="L175" s="236"/>
      <c r="M175" s="236"/>
      <c r="N175" s="237"/>
      <c r="O175" s="241"/>
      <c r="P175" s="241"/>
    </row>
    <row r="177" spans="12:12" x14ac:dyDescent="0.2">
      <c r="L177" s="219">
        <f>L173-L162-L25</f>
        <v>1988.79</v>
      </c>
    </row>
  </sheetData>
  <sheetProtection selectLockedCells="1" selectUnlockedCells="1"/>
  <autoFilter ref="A4:R178" xr:uid="{01C5B94E-C5EF-A349-893B-7725938900E6}"/>
  <sortState xmlns:xlrd2="http://schemas.microsoft.com/office/spreadsheetml/2017/richdata2" ref="A24:P107">
    <sortCondition ref="A24:A107"/>
  </sortState>
  <phoneticPr fontId="22" type="noConversion"/>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0988-0D8A-4742-8173-F7A0CC9277E8}">
  <sheetPr>
    <tabColor theme="5" tint="0.39997558519241921"/>
    <pageSetUpPr fitToPage="1"/>
  </sheetPr>
  <dimension ref="B2:J40"/>
  <sheetViews>
    <sheetView zoomScale="130" zoomScaleNormal="130" workbookViewId="0">
      <selection activeCell="H34" sqref="H34"/>
    </sheetView>
  </sheetViews>
  <sheetFormatPr baseColWidth="10" defaultRowHeight="15" x14ac:dyDescent="0.2"/>
  <cols>
    <col min="1" max="1" width="6.1640625" style="63" customWidth="1"/>
    <col min="2" max="2" width="65.6640625" style="63" customWidth="1"/>
    <col min="3" max="4" width="12.5" style="70" customWidth="1"/>
    <col min="5" max="5" width="13" style="63" customWidth="1"/>
    <col min="6" max="6" width="14.5" style="63" customWidth="1"/>
    <col min="7" max="7" width="3.1640625" style="63" customWidth="1"/>
    <col min="8" max="8" width="65.33203125" style="69" customWidth="1"/>
    <col min="9" max="10" width="10.83203125" style="186"/>
    <col min="11" max="16384" width="10.83203125" style="63"/>
  </cols>
  <sheetData>
    <row r="2" spans="2:10" s="69" customFormat="1" ht="18" x14ac:dyDescent="0.2">
      <c r="B2" s="206" t="s">
        <v>607</v>
      </c>
      <c r="C2" s="205"/>
      <c r="D2" s="205"/>
      <c r="E2" s="204"/>
      <c r="F2" s="204"/>
      <c r="G2" s="204"/>
      <c r="I2" s="186"/>
      <c r="J2" s="186"/>
    </row>
    <row r="3" spans="2:10" s="69" customFormat="1" x14ac:dyDescent="0.2">
      <c r="B3" s="204"/>
      <c r="C3" s="205"/>
      <c r="D3" s="205"/>
      <c r="E3" s="204"/>
      <c r="F3" s="204"/>
      <c r="G3" s="204"/>
      <c r="I3" s="186"/>
      <c r="J3" s="186"/>
    </row>
    <row r="4" spans="2:10" s="69" customFormat="1" ht="20" customHeight="1" x14ac:dyDescent="0.2">
      <c r="B4" s="189" t="s">
        <v>606</v>
      </c>
      <c r="C4" s="192"/>
      <c r="D4" s="192"/>
      <c r="E4" s="189"/>
      <c r="F4" s="189"/>
      <c r="G4" s="189"/>
      <c r="I4" s="186"/>
      <c r="J4" s="186"/>
    </row>
    <row r="5" spans="2:10" s="69" customFormat="1" ht="20" customHeight="1" x14ac:dyDescent="0.2">
      <c r="B5" s="189"/>
      <c r="C5" s="192"/>
      <c r="D5" s="192"/>
      <c r="E5" s="189"/>
      <c r="F5" s="189"/>
      <c r="G5" s="189"/>
      <c r="I5" s="186"/>
      <c r="J5" s="186"/>
    </row>
    <row r="6" spans="2:10" s="69" customFormat="1" ht="20" customHeight="1" x14ac:dyDescent="0.2">
      <c r="B6" s="189" t="s">
        <v>605</v>
      </c>
      <c r="C6" s="192"/>
      <c r="D6" s="192"/>
      <c r="E6" s="189"/>
      <c r="F6" s="189"/>
      <c r="G6" s="189"/>
      <c r="I6" s="186"/>
      <c r="J6" s="186"/>
    </row>
    <row r="7" spans="2:10" s="69" customFormat="1" ht="20" customHeight="1" x14ac:dyDescent="0.2">
      <c r="B7" s="189"/>
      <c r="C7" s="192"/>
      <c r="D7" s="192"/>
      <c r="E7" s="189"/>
      <c r="F7" s="189"/>
      <c r="G7" s="189"/>
      <c r="I7" s="186"/>
      <c r="J7" s="186"/>
    </row>
    <row r="8" spans="2:10" s="69" customFormat="1" ht="20" customHeight="1" x14ac:dyDescent="0.2">
      <c r="B8" s="189" t="s">
        <v>609</v>
      </c>
      <c r="C8" s="192"/>
      <c r="D8" s="192"/>
      <c r="E8" s="189"/>
      <c r="F8" s="189"/>
      <c r="G8" s="189"/>
      <c r="I8" s="186"/>
      <c r="J8" s="186"/>
    </row>
    <row r="9" spans="2:10" s="69" customFormat="1" ht="20" customHeight="1" x14ac:dyDescent="0.2">
      <c r="B9" s="189"/>
      <c r="C9" s="192"/>
      <c r="D9" s="192"/>
      <c r="E9" s="189"/>
      <c r="F9" s="189"/>
      <c r="G9" s="189"/>
      <c r="I9" s="186"/>
      <c r="J9" s="186"/>
    </row>
    <row r="10" spans="2:10" s="69" customFormat="1" ht="20" customHeight="1" x14ac:dyDescent="0.2">
      <c r="B10" s="199" t="s">
        <v>604</v>
      </c>
      <c r="C10" s="198"/>
      <c r="D10" s="198"/>
      <c r="E10" s="189"/>
      <c r="F10" s="189"/>
      <c r="G10" s="189"/>
      <c r="I10" s="186"/>
      <c r="J10" s="186"/>
    </row>
    <row r="11" spans="2:10" s="69" customFormat="1" ht="20" customHeight="1" x14ac:dyDescent="0.2">
      <c r="B11" s="199" t="s">
        <v>603</v>
      </c>
      <c r="C11" s="198"/>
      <c r="D11" s="196">
        <v>16548.22</v>
      </c>
      <c r="E11" s="189"/>
      <c r="F11" s="189"/>
      <c r="G11" s="189"/>
      <c r="I11" s="186"/>
      <c r="J11" s="186"/>
    </row>
    <row r="12" spans="2:10" s="69" customFormat="1" ht="20" customHeight="1" x14ac:dyDescent="0.2">
      <c r="B12" s="199"/>
      <c r="C12" s="198"/>
      <c r="D12" s="198"/>
      <c r="E12" s="189"/>
      <c r="F12" s="189"/>
      <c r="G12" s="189"/>
      <c r="I12" s="186"/>
      <c r="J12" s="186"/>
    </row>
    <row r="13" spans="2:10" s="69" customFormat="1" ht="20" customHeight="1" x14ac:dyDescent="0.2">
      <c r="B13" s="199" t="s">
        <v>602</v>
      </c>
      <c r="C13" s="198"/>
      <c r="D13" s="198">
        <v>0</v>
      </c>
      <c r="E13" s="189"/>
      <c r="F13" s="189"/>
      <c r="G13" s="189"/>
      <c r="I13" s="186"/>
      <c r="J13" s="186"/>
    </row>
    <row r="14" spans="2:10" s="69" customFormat="1" ht="20" customHeight="1" x14ac:dyDescent="0.2">
      <c r="B14" s="58"/>
      <c r="C14" s="198"/>
      <c r="D14" s="198"/>
      <c r="E14" s="189"/>
      <c r="F14" s="189"/>
      <c r="G14" s="189"/>
      <c r="I14" s="186"/>
      <c r="J14" s="186"/>
    </row>
    <row r="15" spans="2:10" s="69" customFormat="1" ht="20" customHeight="1" x14ac:dyDescent="0.2">
      <c r="B15" s="199" t="s">
        <v>601</v>
      </c>
      <c r="C15" s="198"/>
      <c r="D15" s="198">
        <f>SUM(C14:C15)</f>
        <v>0</v>
      </c>
      <c r="E15" s="189"/>
      <c r="F15" s="189"/>
      <c r="G15" s="189"/>
      <c r="I15" s="186"/>
      <c r="J15" s="186"/>
    </row>
    <row r="16" spans="2:10" s="69" customFormat="1" ht="20" customHeight="1" x14ac:dyDescent="0.2">
      <c r="B16" s="203"/>
      <c r="C16" s="198"/>
      <c r="D16" s="202"/>
      <c r="E16" s="189"/>
      <c r="F16" s="189"/>
      <c r="G16" s="189"/>
      <c r="I16" s="186"/>
      <c r="J16" s="186"/>
    </row>
    <row r="17" spans="2:10" s="69" customFormat="1" ht="20" customHeight="1" thickBot="1" x14ac:dyDescent="0.25">
      <c r="B17" s="197" t="s">
        <v>610</v>
      </c>
      <c r="C17" s="196"/>
      <c r="D17" s="195">
        <f>SUM(D11:D16)</f>
        <v>16548.22</v>
      </c>
      <c r="E17" s="189"/>
      <c r="F17" s="189"/>
      <c r="G17" s="189"/>
      <c r="I17" s="186"/>
      <c r="J17" s="186"/>
    </row>
    <row r="18" spans="2:10" s="69" customFormat="1" ht="20" customHeight="1" thickTop="1" x14ac:dyDescent="0.2">
      <c r="B18" s="199"/>
      <c r="C18" s="198"/>
      <c r="D18" s="201"/>
      <c r="E18" s="189"/>
      <c r="F18" s="189"/>
      <c r="G18" s="189"/>
      <c r="I18" s="186"/>
      <c r="J18" s="186"/>
    </row>
    <row r="19" spans="2:10" s="69" customFormat="1" ht="34" customHeight="1" x14ac:dyDescent="0.2">
      <c r="B19" s="200" t="s">
        <v>600</v>
      </c>
      <c r="C19" s="198"/>
      <c r="D19" s="198"/>
      <c r="E19" s="189"/>
      <c r="F19" s="189"/>
      <c r="G19" s="189"/>
      <c r="I19" s="186"/>
      <c r="J19" s="186"/>
    </row>
    <row r="20" spans="2:10" s="69" customFormat="1" ht="20" customHeight="1" x14ac:dyDescent="0.2">
      <c r="B20" s="199" t="s">
        <v>599</v>
      </c>
      <c r="C20" s="198"/>
      <c r="D20" s="198"/>
      <c r="E20" s="189"/>
      <c r="F20" s="189"/>
      <c r="G20" s="189"/>
      <c r="I20" s="186"/>
      <c r="J20" s="186"/>
    </row>
    <row r="21" spans="2:10" s="69" customFormat="1" ht="20" customHeight="1" x14ac:dyDescent="0.2">
      <c r="B21" s="199" t="s">
        <v>611</v>
      </c>
      <c r="C21" s="198"/>
      <c r="D21" s="198">
        <v>20096.63</v>
      </c>
      <c r="E21" s="189"/>
      <c r="F21" s="189"/>
      <c r="G21" s="189"/>
      <c r="I21" s="186"/>
      <c r="J21" s="186"/>
    </row>
    <row r="22" spans="2:10" s="69" customFormat="1" ht="20" customHeight="1" x14ac:dyDescent="0.2">
      <c r="B22" s="199" t="s">
        <v>598</v>
      </c>
      <c r="C22" s="198"/>
      <c r="D22" s="198">
        <f>-E39</f>
        <v>-45699.429999999993</v>
      </c>
      <c r="E22" s="189"/>
      <c r="F22" s="189"/>
      <c r="G22" s="189"/>
      <c r="I22" s="186"/>
      <c r="J22" s="186"/>
    </row>
    <row r="23" spans="2:10" s="69" customFormat="1" ht="20" customHeight="1" x14ac:dyDescent="0.2">
      <c r="B23" s="199" t="s">
        <v>597</v>
      </c>
      <c r="C23" s="198"/>
      <c r="D23" s="198">
        <f>D39</f>
        <v>42151.020000000004</v>
      </c>
      <c r="E23" s="189"/>
      <c r="F23" s="189"/>
      <c r="G23" s="189"/>
      <c r="I23" s="186"/>
      <c r="J23" s="186"/>
    </row>
    <row r="24" spans="2:10" s="71" customFormat="1" ht="20" customHeight="1" thickBot="1" x14ac:dyDescent="0.25">
      <c r="B24" s="197" t="s">
        <v>596</v>
      </c>
      <c r="C24" s="196"/>
      <c r="D24" s="195">
        <f>SUM(D21:D23)</f>
        <v>16548.220000000012</v>
      </c>
      <c r="E24" s="194"/>
      <c r="F24" s="194"/>
      <c r="G24" s="194"/>
    </row>
    <row r="25" spans="2:10" s="69" customFormat="1" ht="17" thickTop="1" x14ac:dyDescent="0.2">
      <c r="B25" s="189"/>
      <c r="C25" s="192"/>
      <c r="D25" s="192"/>
      <c r="E25" s="189"/>
      <c r="F25" s="189"/>
      <c r="G25" s="189"/>
      <c r="I25" s="186"/>
      <c r="J25" s="186"/>
    </row>
    <row r="26" spans="2:10" s="69" customFormat="1" ht="16" x14ac:dyDescent="0.2">
      <c r="B26" s="189"/>
      <c r="C26" s="189" t="s">
        <v>595</v>
      </c>
      <c r="D26" s="69" t="s">
        <v>594</v>
      </c>
      <c r="E26" s="69" t="s">
        <v>593</v>
      </c>
      <c r="G26" s="63"/>
      <c r="I26" s="186"/>
      <c r="J26" s="186"/>
    </row>
    <row r="27" spans="2:10" s="69" customFormat="1" ht="16" x14ac:dyDescent="0.2">
      <c r="B27" s="189"/>
      <c r="C27" s="193">
        <v>45383</v>
      </c>
      <c r="D27" s="192">
        <v>12500</v>
      </c>
      <c r="E27" s="192">
        <v>2072.46</v>
      </c>
      <c r="F27" s="187"/>
      <c r="G27" s="63"/>
      <c r="I27" s="186"/>
      <c r="J27" s="186"/>
    </row>
    <row r="28" spans="2:10" s="69" customFormat="1" ht="16" x14ac:dyDescent="0.2">
      <c r="B28" s="189"/>
      <c r="C28" s="193">
        <f>C27+30</f>
        <v>45413</v>
      </c>
      <c r="D28" s="192">
        <v>11000</v>
      </c>
      <c r="E28" s="192">
        <v>15286.18</v>
      </c>
      <c r="F28" s="187"/>
      <c r="G28" s="63"/>
      <c r="I28" s="186"/>
      <c r="J28" s="186"/>
    </row>
    <row r="29" spans="2:10" s="69" customFormat="1" ht="16" x14ac:dyDescent="0.2">
      <c r="B29" s="189"/>
      <c r="C29" s="193">
        <f>C28+31</f>
        <v>45444</v>
      </c>
      <c r="D29" s="192">
        <v>11.5</v>
      </c>
      <c r="E29" s="192">
        <v>1514.87</v>
      </c>
      <c r="F29" s="187"/>
      <c r="G29" s="63"/>
      <c r="I29" s="186"/>
      <c r="J29" s="186"/>
    </row>
    <row r="30" spans="2:10" s="69" customFormat="1" ht="16" x14ac:dyDescent="0.2">
      <c r="B30" s="189"/>
      <c r="C30" s="193">
        <f t="shared" ref="C30:C38" si="0">C29+31</f>
        <v>45475</v>
      </c>
      <c r="D30" s="192">
        <v>0</v>
      </c>
      <c r="E30" s="192">
        <v>2447.5</v>
      </c>
      <c r="F30" s="187"/>
      <c r="G30" s="63"/>
      <c r="I30" s="186"/>
      <c r="J30" s="186"/>
    </row>
    <row r="31" spans="2:10" s="69" customFormat="1" ht="16" x14ac:dyDescent="0.2">
      <c r="B31" s="189"/>
      <c r="C31" s="193">
        <f t="shared" si="0"/>
        <v>45506</v>
      </c>
      <c r="D31" s="192">
        <v>0</v>
      </c>
      <c r="E31" s="192">
        <v>747.74</v>
      </c>
      <c r="F31" s="187"/>
      <c r="G31" s="63"/>
      <c r="I31" s="186"/>
      <c r="J31" s="186"/>
    </row>
    <row r="32" spans="2:10" s="69" customFormat="1" ht="16" x14ac:dyDescent="0.2">
      <c r="B32" s="189"/>
      <c r="C32" s="193">
        <f t="shared" si="0"/>
        <v>45537</v>
      </c>
      <c r="D32" s="192">
        <v>12605</v>
      </c>
      <c r="E32" s="192">
        <v>3704.67</v>
      </c>
      <c r="F32" s="187"/>
      <c r="G32" s="63"/>
      <c r="I32" s="186"/>
      <c r="J32" s="186"/>
    </row>
    <row r="33" spans="2:6" ht="16" x14ac:dyDescent="0.2">
      <c r="B33" s="189"/>
      <c r="C33" s="193">
        <f t="shared" si="0"/>
        <v>45568</v>
      </c>
      <c r="D33" s="192">
        <v>503</v>
      </c>
      <c r="E33" s="192">
        <v>7781.34</v>
      </c>
      <c r="F33" s="187"/>
    </row>
    <row r="34" spans="2:6" ht="16" x14ac:dyDescent="0.2">
      <c r="B34" s="189"/>
      <c r="C34" s="193">
        <f t="shared" si="0"/>
        <v>45599</v>
      </c>
      <c r="D34" s="192">
        <v>41.5</v>
      </c>
      <c r="E34" s="192">
        <v>4887.6499999999996</v>
      </c>
      <c r="F34" s="187"/>
    </row>
    <row r="35" spans="2:6" ht="16" x14ac:dyDescent="0.2">
      <c r="B35" s="189"/>
      <c r="C35" s="193">
        <f t="shared" si="0"/>
        <v>45630</v>
      </c>
      <c r="D35" s="192">
        <v>5490.02</v>
      </c>
      <c r="E35" s="192">
        <v>1189.99</v>
      </c>
      <c r="F35" s="187"/>
    </row>
    <row r="36" spans="2:6" ht="16" x14ac:dyDescent="0.2">
      <c r="B36" s="189"/>
      <c r="C36" s="193">
        <f t="shared" si="0"/>
        <v>45661</v>
      </c>
      <c r="D36" s="192">
        <v>0</v>
      </c>
      <c r="E36" s="192">
        <v>2722.55</v>
      </c>
      <c r="F36" s="187"/>
    </row>
    <row r="37" spans="2:6" ht="16" x14ac:dyDescent="0.2">
      <c r="B37" s="189"/>
      <c r="C37" s="193">
        <f t="shared" si="0"/>
        <v>45692</v>
      </c>
      <c r="D37" s="192">
        <v>0</v>
      </c>
      <c r="E37" s="192">
        <v>1876.14</v>
      </c>
      <c r="F37" s="187"/>
    </row>
    <row r="38" spans="2:6" ht="16" x14ac:dyDescent="0.2">
      <c r="B38" s="189"/>
      <c r="C38" s="193">
        <f t="shared" si="0"/>
        <v>45723</v>
      </c>
      <c r="D38" s="192">
        <v>0</v>
      </c>
      <c r="E38" s="192">
        <v>1468.34</v>
      </c>
      <c r="F38" s="187"/>
    </row>
    <row r="39" spans="2:6" ht="17" thickBot="1" x14ac:dyDescent="0.25">
      <c r="B39" s="189"/>
      <c r="C39" s="189"/>
      <c r="D39" s="191">
        <f>SUM(D27:D38)</f>
        <v>42151.020000000004</v>
      </c>
      <c r="E39" s="191">
        <f>SUM(E27:E38)</f>
        <v>45699.429999999993</v>
      </c>
      <c r="F39" s="190">
        <f>D39-E39</f>
        <v>-3548.4099999999889</v>
      </c>
    </row>
    <row r="40" spans="2:6" ht="17" thickBot="1" x14ac:dyDescent="0.25">
      <c r="B40" s="189"/>
      <c r="C40" s="189"/>
      <c r="D40" s="188"/>
      <c r="E40" s="188"/>
      <c r="F40" s="187"/>
    </row>
  </sheetData>
  <pageMargins left="0.7" right="0.7" top="0.75" bottom="0.75" header="0.3" footer="0.3"/>
  <pageSetup paperSize="9" scale="90" fitToHeight="0"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F8C2-8734-7546-B8B0-0A12AA1C90F7}">
  <dimension ref="A4:L61"/>
  <sheetViews>
    <sheetView topLeftCell="A9" zoomScaleNormal="100" workbookViewId="0">
      <selection activeCell="F24" sqref="F24:F30"/>
    </sheetView>
  </sheetViews>
  <sheetFormatPr baseColWidth="10" defaultRowHeight="18" x14ac:dyDescent="0.2"/>
  <cols>
    <col min="1" max="2" width="10.83203125" style="166"/>
    <col min="3" max="3" width="58.1640625" style="166" customWidth="1"/>
    <col min="4" max="4" width="16" style="166" customWidth="1"/>
    <col min="5" max="8" width="12.6640625" style="166" customWidth="1"/>
    <col min="9" max="9" width="13.33203125" style="166" customWidth="1"/>
    <col min="10" max="10" width="17.6640625" style="166" customWidth="1"/>
    <col min="11" max="12" width="12.5" style="166" customWidth="1"/>
    <col min="13" max="16384" width="10.83203125" style="166"/>
  </cols>
  <sheetData>
    <row r="4" spans="1:12" ht="57" x14ac:dyDescent="0.2">
      <c r="A4" s="167"/>
      <c r="B4" s="163" t="s">
        <v>81</v>
      </c>
      <c r="C4" s="163" t="s">
        <v>102</v>
      </c>
      <c r="D4" s="163" t="s">
        <v>84</v>
      </c>
      <c r="E4" s="163" t="s">
        <v>85</v>
      </c>
      <c r="F4" s="163" t="s">
        <v>87</v>
      </c>
      <c r="G4" s="163" t="s">
        <v>88</v>
      </c>
      <c r="H4" s="163" t="s">
        <v>89</v>
      </c>
      <c r="I4" s="163" t="s">
        <v>697</v>
      </c>
      <c r="J4" s="163" t="s">
        <v>419</v>
      </c>
      <c r="K4" s="275" t="s">
        <v>700</v>
      </c>
      <c r="L4" s="275" t="s">
        <v>698</v>
      </c>
    </row>
    <row r="5" spans="1:12" x14ac:dyDescent="0.2">
      <c r="A5" s="167"/>
      <c r="B5" s="278">
        <v>44986</v>
      </c>
      <c r="C5" s="279" t="s">
        <v>432</v>
      </c>
      <c r="D5" s="279" t="s">
        <v>156</v>
      </c>
      <c r="E5" s="280"/>
      <c r="F5" s="280">
        <v>134.19999999999999</v>
      </c>
      <c r="G5" s="280"/>
      <c r="H5" s="280">
        <f>F5-G5</f>
        <v>134.19999999999999</v>
      </c>
      <c r="I5" s="281"/>
      <c r="J5" s="282"/>
      <c r="K5" s="282"/>
      <c r="L5" s="282"/>
    </row>
    <row r="6" spans="1:12" x14ac:dyDescent="0.2">
      <c r="A6" s="167"/>
      <c r="B6" s="164">
        <v>45170</v>
      </c>
      <c r="C6" s="165" t="s">
        <v>437</v>
      </c>
      <c r="D6" s="165" t="s">
        <v>156</v>
      </c>
      <c r="E6" s="168"/>
      <c r="F6" s="168">
        <v>20</v>
      </c>
      <c r="G6" s="168">
        <v>0</v>
      </c>
      <c r="H6" s="168">
        <f t="shared" ref="H6:H31" si="0">F6-G6</f>
        <v>20</v>
      </c>
      <c r="I6" s="173"/>
      <c r="J6" s="167">
        <v>35</v>
      </c>
      <c r="K6" s="277">
        <f>(E6-SUM(H6:H9))/J6</f>
        <v>-10.220571428571427</v>
      </c>
      <c r="L6" s="277">
        <f>K6*J6</f>
        <v>-357.71999999999991</v>
      </c>
    </row>
    <row r="7" spans="1:12" x14ac:dyDescent="0.2">
      <c r="A7" s="167"/>
      <c r="B7" s="164">
        <v>45170</v>
      </c>
      <c r="C7" s="165" t="s">
        <v>438</v>
      </c>
      <c r="D7" s="165" t="s">
        <v>156</v>
      </c>
      <c r="E7" s="168"/>
      <c r="F7" s="168">
        <v>238.55</v>
      </c>
      <c r="G7" s="168">
        <v>0</v>
      </c>
      <c r="H7" s="168">
        <f t="shared" si="0"/>
        <v>238.55</v>
      </c>
      <c r="I7" s="173"/>
      <c r="J7" s="167"/>
      <c r="K7" s="167"/>
      <c r="L7" s="277"/>
    </row>
    <row r="8" spans="1:12" x14ac:dyDescent="0.2">
      <c r="A8" s="167"/>
      <c r="B8" s="164">
        <v>45170</v>
      </c>
      <c r="C8" s="165" t="s">
        <v>430</v>
      </c>
      <c r="D8" s="165" t="s">
        <v>156</v>
      </c>
      <c r="E8" s="168"/>
      <c r="F8" s="168">
        <v>24.42</v>
      </c>
      <c r="G8" s="168">
        <v>4.08</v>
      </c>
      <c r="H8" s="168">
        <f t="shared" si="0"/>
        <v>20.340000000000003</v>
      </c>
      <c r="I8" s="173"/>
      <c r="J8" s="167"/>
      <c r="K8" s="167"/>
      <c r="L8" s="277"/>
    </row>
    <row r="9" spans="1:12" x14ac:dyDescent="0.2">
      <c r="A9" s="167"/>
      <c r="B9" s="164">
        <v>45170</v>
      </c>
      <c r="C9" s="165" t="s">
        <v>431</v>
      </c>
      <c r="D9" s="165" t="s">
        <v>156</v>
      </c>
      <c r="E9" s="168"/>
      <c r="F9" s="168">
        <v>80.83</v>
      </c>
      <c r="G9" s="168">
        <v>2</v>
      </c>
      <c r="H9" s="168">
        <f t="shared" si="0"/>
        <v>78.83</v>
      </c>
      <c r="I9" s="173"/>
      <c r="J9" s="167"/>
      <c r="K9" s="167"/>
      <c r="L9" s="277"/>
    </row>
    <row r="10" spans="1:12" x14ac:dyDescent="0.2">
      <c r="A10" s="167"/>
      <c r="B10" s="179">
        <v>45261</v>
      </c>
      <c r="C10" s="180" t="s">
        <v>433</v>
      </c>
      <c r="D10" s="180" t="s">
        <v>156</v>
      </c>
      <c r="E10" s="181"/>
      <c r="F10" s="181">
        <v>200</v>
      </c>
      <c r="G10" s="181">
        <v>0</v>
      </c>
      <c r="H10" s="181">
        <f t="shared" si="0"/>
        <v>200</v>
      </c>
      <c r="I10" s="182"/>
      <c r="J10" s="274">
        <v>37</v>
      </c>
      <c r="K10" s="272">
        <f>(E12-SUM(H10:H13))/J10</f>
        <v>-6.4081081081081077</v>
      </c>
      <c r="L10" s="272">
        <f t="shared" ref="L10:L28" si="1">K10*J10</f>
        <v>-237.1</v>
      </c>
    </row>
    <row r="11" spans="1:12" x14ac:dyDescent="0.2">
      <c r="A11" s="167"/>
      <c r="B11" s="179">
        <v>45261</v>
      </c>
      <c r="C11" s="180" t="s">
        <v>434</v>
      </c>
      <c r="D11" s="180" t="s">
        <v>156</v>
      </c>
      <c r="E11" s="181"/>
      <c r="F11" s="181">
        <v>92.65</v>
      </c>
      <c r="G11" s="181">
        <v>1.33</v>
      </c>
      <c r="H11" s="181">
        <f t="shared" si="0"/>
        <v>91.320000000000007</v>
      </c>
      <c r="I11" s="182"/>
      <c r="J11" s="274"/>
      <c r="K11" s="274"/>
      <c r="L11" s="272"/>
    </row>
    <row r="12" spans="1:12" x14ac:dyDescent="0.2">
      <c r="A12" s="167"/>
      <c r="B12" s="179">
        <v>45261</v>
      </c>
      <c r="C12" s="180" t="s">
        <v>435</v>
      </c>
      <c r="D12" s="180" t="s">
        <v>9</v>
      </c>
      <c r="E12" s="181">
        <v>74.22</v>
      </c>
      <c r="F12" s="181">
        <v>0</v>
      </c>
      <c r="G12" s="181">
        <v>0</v>
      </c>
      <c r="H12" s="181">
        <f t="shared" si="0"/>
        <v>0</v>
      </c>
      <c r="I12" s="182"/>
      <c r="J12" s="274"/>
      <c r="K12" s="274"/>
      <c r="L12" s="272"/>
    </row>
    <row r="13" spans="1:12" x14ac:dyDescent="0.2">
      <c r="A13" s="167"/>
      <c r="B13" s="179">
        <v>45261</v>
      </c>
      <c r="C13" s="180" t="s">
        <v>436</v>
      </c>
      <c r="D13" s="180" t="s">
        <v>156</v>
      </c>
      <c r="E13" s="181"/>
      <c r="F13" s="181">
        <v>20</v>
      </c>
      <c r="G13" s="181">
        <v>0</v>
      </c>
      <c r="H13" s="181">
        <f t="shared" si="0"/>
        <v>20</v>
      </c>
      <c r="I13" s="182"/>
      <c r="J13" s="274"/>
      <c r="K13" s="274"/>
      <c r="L13" s="272"/>
    </row>
    <row r="14" spans="1:12" ht="38" x14ac:dyDescent="0.2">
      <c r="A14" s="167"/>
      <c r="B14" s="164">
        <v>45376</v>
      </c>
      <c r="C14" s="165" t="s">
        <v>457</v>
      </c>
      <c r="D14" s="165" t="s">
        <v>9</v>
      </c>
      <c r="E14" s="168">
        <v>110</v>
      </c>
      <c r="F14" s="168"/>
      <c r="G14" s="168"/>
      <c r="H14" s="168">
        <f t="shared" si="0"/>
        <v>0</v>
      </c>
      <c r="I14" s="276" t="s">
        <v>699</v>
      </c>
      <c r="J14" s="167">
        <v>22</v>
      </c>
      <c r="K14" s="277">
        <f>(E14-SUM(H14:H16))/J14</f>
        <v>-6.8409090909090908</v>
      </c>
      <c r="L14" s="277">
        <f t="shared" si="1"/>
        <v>-150.5</v>
      </c>
    </row>
    <row r="15" spans="1:12" x14ac:dyDescent="0.2">
      <c r="A15" s="167"/>
      <c r="B15" s="164">
        <v>45376</v>
      </c>
      <c r="C15" s="165" t="s">
        <v>458</v>
      </c>
      <c r="D15" s="165" t="s">
        <v>156</v>
      </c>
      <c r="E15" s="168"/>
      <c r="F15" s="168">
        <v>30</v>
      </c>
      <c r="G15" s="168"/>
      <c r="H15" s="168">
        <f t="shared" si="0"/>
        <v>30</v>
      </c>
      <c r="I15" s="173"/>
      <c r="J15" s="167"/>
      <c r="K15" s="167"/>
      <c r="L15" s="277"/>
    </row>
    <row r="16" spans="1:12" x14ac:dyDescent="0.2">
      <c r="A16" s="167"/>
      <c r="B16" s="164">
        <v>45376</v>
      </c>
      <c r="C16" s="165" t="s">
        <v>474</v>
      </c>
      <c r="D16" s="165" t="s">
        <v>156</v>
      </c>
      <c r="E16" s="168"/>
      <c r="F16" s="168">
        <v>231.8</v>
      </c>
      <c r="G16" s="168">
        <v>1.3</v>
      </c>
      <c r="H16" s="168">
        <f t="shared" si="0"/>
        <v>230.5</v>
      </c>
      <c r="I16" s="173"/>
      <c r="J16" s="167"/>
      <c r="K16" s="167"/>
      <c r="L16" s="277"/>
    </row>
    <row r="17" spans="1:12" x14ac:dyDescent="0.2">
      <c r="A17" s="167"/>
      <c r="B17" s="179">
        <v>45630</v>
      </c>
      <c r="C17" s="180" t="s">
        <v>523</v>
      </c>
      <c r="D17" s="180" t="s">
        <v>477</v>
      </c>
      <c r="E17" s="181"/>
      <c r="F17" s="181">
        <v>69.02</v>
      </c>
      <c r="G17" s="181"/>
      <c r="H17" s="181">
        <f t="shared" si="0"/>
        <v>69.02</v>
      </c>
      <c r="I17" s="182"/>
      <c r="J17" s="274">
        <v>22</v>
      </c>
      <c r="K17" s="272">
        <f>(E21-SUM(H17:H23))/J17</f>
        <v>-2.5286363636363633</v>
      </c>
      <c r="L17" s="272">
        <f t="shared" si="1"/>
        <v>-55.629999999999995</v>
      </c>
    </row>
    <row r="18" spans="1:12" x14ac:dyDescent="0.2">
      <c r="A18" s="167"/>
      <c r="B18" s="179">
        <v>45630</v>
      </c>
      <c r="C18" s="180" t="s">
        <v>523</v>
      </c>
      <c r="D18" s="180" t="s">
        <v>477</v>
      </c>
      <c r="E18" s="181"/>
      <c r="F18" s="181">
        <v>6.29</v>
      </c>
      <c r="G18" s="181"/>
      <c r="H18" s="181">
        <f t="shared" si="0"/>
        <v>6.29</v>
      </c>
      <c r="I18" s="182"/>
      <c r="J18" s="274"/>
      <c r="K18" s="274"/>
      <c r="L18" s="272"/>
    </row>
    <row r="19" spans="1:12" x14ac:dyDescent="0.2">
      <c r="A19" s="167"/>
      <c r="B19" s="179">
        <v>45630</v>
      </c>
      <c r="C19" s="180" t="s">
        <v>525</v>
      </c>
      <c r="D19" s="180" t="s">
        <v>477</v>
      </c>
      <c r="E19" s="181"/>
      <c r="F19" s="181">
        <v>30</v>
      </c>
      <c r="G19" s="181"/>
      <c r="H19" s="181">
        <f t="shared" si="0"/>
        <v>30</v>
      </c>
      <c r="I19" s="182"/>
      <c r="J19" s="274"/>
      <c r="K19" s="274"/>
      <c r="L19" s="272"/>
    </row>
    <row r="20" spans="1:12" x14ac:dyDescent="0.2">
      <c r="A20" s="167"/>
      <c r="B20" s="179">
        <v>45630</v>
      </c>
      <c r="C20" s="180" t="s">
        <v>526</v>
      </c>
      <c r="D20" s="180" t="s">
        <v>477</v>
      </c>
      <c r="E20" s="181"/>
      <c r="F20" s="181">
        <v>10</v>
      </c>
      <c r="G20" s="181"/>
      <c r="H20" s="181">
        <f t="shared" si="0"/>
        <v>10</v>
      </c>
      <c r="I20" s="182"/>
      <c r="J20" s="274"/>
      <c r="K20" s="274"/>
      <c r="L20" s="272"/>
    </row>
    <row r="21" spans="1:12" x14ac:dyDescent="0.2">
      <c r="A21" s="167"/>
      <c r="B21" s="179">
        <v>45630</v>
      </c>
      <c r="C21" s="180" t="s">
        <v>524</v>
      </c>
      <c r="D21" s="180" t="s">
        <v>9</v>
      </c>
      <c r="E21" s="181">
        <v>115</v>
      </c>
      <c r="F21" s="181"/>
      <c r="G21" s="181"/>
      <c r="H21" s="181">
        <f t="shared" si="0"/>
        <v>0</v>
      </c>
      <c r="I21" s="182"/>
      <c r="J21" s="274"/>
      <c r="K21" s="274"/>
      <c r="L21" s="272"/>
    </row>
    <row r="22" spans="1:12" x14ac:dyDescent="0.2">
      <c r="A22" s="167"/>
      <c r="B22" s="179">
        <v>45630</v>
      </c>
      <c r="C22" s="180" t="s">
        <v>523</v>
      </c>
      <c r="D22" s="180" t="s">
        <v>477</v>
      </c>
      <c r="E22" s="181"/>
      <c r="F22" s="181">
        <v>42</v>
      </c>
      <c r="G22" s="181"/>
      <c r="H22" s="181">
        <f t="shared" si="0"/>
        <v>42</v>
      </c>
      <c r="I22" s="182"/>
      <c r="J22" s="274"/>
      <c r="K22" s="274"/>
      <c r="L22" s="272"/>
    </row>
    <row r="23" spans="1:12" x14ac:dyDescent="0.2">
      <c r="A23" s="167"/>
      <c r="B23" s="179">
        <v>45630</v>
      </c>
      <c r="C23" s="180" t="s">
        <v>523</v>
      </c>
      <c r="D23" s="180" t="s">
        <v>477</v>
      </c>
      <c r="E23" s="181"/>
      <c r="F23" s="181">
        <v>15.99</v>
      </c>
      <c r="G23" s="181">
        <v>2.67</v>
      </c>
      <c r="H23" s="181">
        <f t="shared" si="0"/>
        <v>13.32</v>
      </c>
      <c r="I23" s="182"/>
      <c r="J23" s="274"/>
      <c r="K23" s="274"/>
      <c r="L23" s="272"/>
    </row>
    <row r="24" spans="1:12" x14ac:dyDescent="0.2">
      <c r="A24" s="167"/>
      <c r="B24" s="164">
        <v>45749</v>
      </c>
      <c r="C24" s="165" t="s">
        <v>553</v>
      </c>
      <c r="D24" s="165" t="s">
        <v>477</v>
      </c>
      <c r="E24" s="168"/>
      <c r="F24" s="168">
        <v>33.950000000000003</v>
      </c>
      <c r="G24" s="168"/>
      <c r="H24" s="168">
        <f t="shared" si="0"/>
        <v>33.950000000000003</v>
      </c>
      <c r="I24" s="173"/>
      <c r="J24" s="167">
        <v>27</v>
      </c>
      <c r="K24" s="277">
        <f>(E27-SUM(H24:H27))/J24</f>
        <v>0.60037037037037011</v>
      </c>
      <c r="L24" s="277">
        <f t="shared" si="1"/>
        <v>16.209999999999994</v>
      </c>
    </row>
    <row r="25" spans="1:12" x14ac:dyDescent="0.2">
      <c r="A25" s="167"/>
      <c r="B25" s="164">
        <v>45749</v>
      </c>
      <c r="C25" s="165" t="s">
        <v>553</v>
      </c>
      <c r="D25" s="165" t="s">
        <v>477</v>
      </c>
      <c r="E25" s="168"/>
      <c r="F25" s="168">
        <v>54.84</v>
      </c>
      <c r="G25" s="168"/>
      <c r="H25" s="168">
        <f t="shared" si="0"/>
        <v>54.84</v>
      </c>
      <c r="I25" s="173"/>
      <c r="J25" s="167"/>
      <c r="K25" s="167"/>
      <c r="L25" s="277"/>
    </row>
    <row r="26" spans="1:12" x14ac:dyDescent="0.2">
      <c r="A26" s="167"/>
      <c r="B26" s="164">
        <v>45749</v>
      </c>
      <c r="C26" s="165" t="s">
        <v>554</v>
      </c>
      <c r="D26" s="165" t="s">
        <v>555</v>
      </c>
      <c r="E26" s="168"/>
      <c r="F26" s="168">
        <v>30</v>
      </c>
      <c r="G26" s="168"/>
      <c r="H26" s="168">
        <f t="shared" si="0"/>
        <v>30</v>
      </c>
      <c r="I26" s="173"/>
      <c r="J26" s="167"/>
      <c r="K26" s="167"/>
      <c r="L26" s="277"/>
    </row>
    <row r="27" spans="1:12" x14ac:dyDescent="0.2">
      <c r="A27" s="167"/>
      <c r="B27" s="164">
        <v>45749</v>
      </c>
      <c r="C27" s="165" t="s">
        <v>556</v>
      </c>
      <c r="D27" s="165" t="s">
        <v>9</v>
      </c>
      <c r="E27" s="168">
        <v>135</v>
      </c>
      <c r="F27" s="168"/>
      <c r="G27" s="168"/>
      <c r="H27" s="168">
        <f t="shared" si="0"/>
        <v>0</v>
      </c>
      <c r="I27" s="173"/>
      <c r="J27" s="167"/>
      <c r="K27" s="167"/>
      <c r="L27" s="277"/>
    </row>
    <row r="28" spans="1:12" x14ac:dyDescent="0.2">
      <c r="A28" s="167"/>
      <c r="B28" s="179">
        <v>45903</v>
      </c>
      <c r="C28" s="180" t="s">
        <v>692</v>
      </c>
      <c r="D28" s="180" t="s">
        <v>477</v>
      </c>
      <c r="E28" s="272"/>
      <c r="F28" s="272">
        <v>56.83</v>
      </c>
      <c r="G28" s="272">
        <v>0</v>
      </c>
      <c r="H28" s="273">
        <f t="shared" si="0"/>
        <v>56.83</v>
      </c>
      <c r="I28" s="274"/>
      <c r="J28" s="274">
        <v>27</v>
      </c>
      <c r="K28" s="272">
        <f>(E31-SUM(H28:H31))/J28</f>
        <v>1.5692592592592594</v>
      </c>
      <c r="L28" s="272">
        <f t="shared" si="1"/>
        <v>42.370000000000005</v>
      </c>
    </row>
    <row r="29" spans="1:12" x14ac:dyDescent="0.2">
      <c r="A29" s="167"/>
      <c r="B29" s="179">
        <v>45903</v>
      </c>
      <c r="C29" s="180" t="s">
        <v>692</v>
      </c>
      <c r="D29" s="180" t="s">
        <v>477</v>
      </c>
      <c r="E29" s="273"/>
      <c r="F29" s="273">
        <v>5.8</v>
      </c>
      <c r="G29" s="273">
        <v>0</v>
      </c>
      <c r="H29" s="273">
        <f t="shared" si="0"/>
        <v>5.8</v>
      </c>
      <c r="I29" s="182"/>
      <c r="J29" s="274"/>
      <c r="K29" s="274"/>
      <c r="L29" s="272"/>
    </row>
    <row r="30" spans="1:12" x14ac:dyDescent="0.2">
      <c r="A30" s="167"/>
      <c r="B30" s="179">
        <v>45903</v>
      </c>
      <c r="C30" s="180" t="s">
        <v>693</v>
      </c>
      <c r="D30" s="180" t="s">
        <v>555</v>
      </c>
      <c r="E30" s="273"/>
      <c r="F30" s="273">
        <v>30</v>
      </c>
      <c r="G30" s="273">
        <v>0</v>
      </c>
      <c r="H30" s="273">
        <f t="shared" si="0"/>
        <v>30</v>
      </c>
      <c r="I30" s="182"/>
      <c r="J30" s="274"/>
      <c r="K30" s="274"/>
      <c r="L30" s="272"/>
    </row>
    <row r="31" spans="1:12" x14ac:dyDescent="0.2">
      <c r="A31" s="167"/>
      <c r="B31" s="179">
        <v>45903</v>
      </c>
      <c r="C31" s="180" t="s">
        <v>694</v>
      </c>
      <c r="D31" s="180" t="s">
        <v>9</v>
      </c>
      <c r="E31" s="273">
        <v>135</v>
      </c>
      <c r="F31" s="273"/>
      <c r="G31" s="273"/>
      <c r="H31" s="273">
        <f t="shared" si="0"/>
        <v>0</v>
      </c>
      <c r="I31" s="182"/>
      <c r="J31" s="274"/>
      <c r="K31" s="274"/>
      <c r="L31" s="272"/>
    </row>
    <row r="32" spans="1:12" x14ac:dyDescent="0.2">
      <c r="A32" s="167"/>
      <c r="B32" s="164"/>
      <c r="C32" s="165"/>
      <c r="D32" s="165"/>
      <c r="E32" s="168"/>
      <c r="F32" s="168"/>
      <c r="G32" s="168"/>
      <c r="H32" s="168"/>
      <c r="I32" s="173"/>
      <c r="J32" s="167"/>
      <c r="K32" s="167"/>
      <c r="L32" s="167"/>
    </row>
    <row r="33" spans="1:12" x14ac:dyDescent="0.2">
      <c r="A33" s="167"/>
      <c r="B33" s="164"/>
      <c r="C33" s="165"/>
      <c r="D33" s="165"/>
      <c r="E33" s="168"/>
      <c r="F33" s="168"/>
      <c r="G33" s="168"/>
      <c r="H33" s="168"/>
      <c r="I33" s="173"/>
      <c r="J33" s="167"/>
      <c r="K33" s="167"/>
      <c r="L33" s="167"/>
    </row>
    <row r="34" spans="1:12" x14ac:dyDescent="0.2">
      <c r="A34" s="167"/>
      <c r="B34" s="164"/>
      <c r="C34" s="165"/>
      <c r="D34" s="165"/>
      <c r="E34" s="168"/>
      <c r="F34" s="168"/>
      <c r="G34" s="168"/>
      <c r="H34" s="168"/>
      <c r="I34" s="173"/>
      <c r="J34" s="167"/>
      <c r="K34" s="167"/>
      <c r="L34" s="167"/>
    </row>
    <row r="35" spans="1:12" x14ac:dyDescent="0.2">
      <c r="A35" s="167"/>
      <c r="B35" s="164"/>
      <c r="C35" s="165"/>
      <c r="D35" s="165"/>
      <c r="E35" s="168"/>
      <c r="F35" s="168"/>
      <c r="G35" s="168"/>
      <c r="H35" s="168"/>
      <c r="I35" s="173"/>
      <c r="J35" s="167"/>
      <c r="K35" s="167"/>
      <c r="L35" s="167"/>
    </row>
    <row r="36" spans="1:12" x14ac:dyDescent="0.2">
      <c r="A36" s="167"/>
      <c r="B36" s="167"/>
      <c r="C36" s="167"/>
      <c r="D36" s="167"/>
      <c r="E36" s="174">
        <f>SUM(E6:E35)</f>
        <v>569.22</v>
      </c>
      <c r="F36" s="174">
        <f t="shared" ref="F36:H36" si="2">SUM(F6:F35)</f>
        <v>1322.9699999999998</v>
      </c>
      <c r="G36" s="174">
        <f t="shared" si="2"/>
        <v>11.38</v>
      </c>
      <c r="H36" s="174">
        <f t="shared" si="2"/>
        <v>1311.5899999999997</v>
      </c>
      <c r="I36" s="175"/>
      <c r="J36" s="167"/>
      <c r="K36" s="277">
        <f>E36-H36</f>
        <v>-742.36999999999966</v>
      </c>
      <c r="L36" s="277">
        <f>SUM(L6:L35)</f>
        <v>-742.36999999999989</v>
      </c>
    </row>
    <row r="37" spans="1:12" x14ac:dyDescent="0.2">
      <c r="E37" s="170"/>
      <c r="F37" s="170"/>
      <c r="G37" s="170"/>
      <c r="H37" s="170"/>
      <c r="I37" s="169"/>
    </row>
    <row r="38" spans="1:12" x14ac:dyDescent="0.2">
      <c r="C38" s="166" t="s">
        <v>534</v>
      </c>
    </row>
    <row r="40" spans="1:12" x14ac:dyDescent="0.2">
      <c r="C40" s="166" t="s">
        <v>420</v>
      </c>
    </row>
    <row r="41" spans="1:12" x14ac:dyDescent="0.2">
      <c r="C41" s="166" t="s">
        <v>564</v>
      </c>
    </row>
    <row r="43" spans="1:12" x14ac:dyDescent="0.2">
      <c r="C43" s="166" t="s">
        <v>439</v>
      </c>
    </row>
    <row r="44" spans="1:12" x14ac:dyDescent="0.2">
      <c r="C44" s="166" t="s">
        <v>440</v>
      </c>
    </row>
    <row r="45" spans="1:12" x14ac:dyDescent="0.2">
      <c r="C45" s="166" t="s">
        <v>563</v>
      </c>
    </row>
    <row r="47" spans="1:12" x14ac:dyDescent="0.2">
      <c r="C47" s="166" t="s">
        <v>471</v>
      </c>
    </row>
    <row r="48" spans="1:12" x14ac:dyDescent="0.2">
      <c r="C48" s="166" t="s">
        <v>472</v>
      </c>
    </row>
    <row r="49" spans="3:3" x14ac:dyDescent="0.2">
      <c r="C49" s="166" t="s">
        <v>562</v>
      </c>
    </row>
    <row r="51" spans="3:3" x14ac:dyDescent="0.2">
      <c r="C51" s="166" t="s">
        <v>559</v>
      </c>
    </row>
    <row r="52" spans="3:3" x14ac:dyDescent="0.2">
      <c r="C52" s="166" t="s">
        <v>527</v>
      </c>
    </row>
    <row r="53" spans="3:3" x14ac:dyDescent="0.2">
      <c r="C53" s="166" t="s">
        <v>561</v>
      </c>
    </row>
    <row r="55" spans="3:3" x14ac:dyDescent="0.2">
      <c r="C55" s="166" t="s">
        <v>557</v>
      </c>
    </row>
    <row r="56" spans="3:3" x14ac:dyDescent="0.2">
      <c r="C56" s="166" t="s">
        <v>558</v>
      </c>
    </row>
    <row r="57" spans="3:3" x14ac:dyDescent="0.2">
      <c r="C57" s="166" t="s">
        <v>560</v>
      </c>
    </row>
    <row r="59" spans="3:3" x14ac:dyDescent="0.2">
      <c r="C59" s="166" t="s">
        <v>695</v>
      </c>
    </row>
    <row r="60" spans="3:3" x14ac:dyDescent="0.2">
      <c r="C60" s="166" t="s">
        <v>558</v>
      </c>
    </row>
    <row r="61" spans="3:3" x14ac:dyDescent="0.2">
      <c r="C61" s="166" t="s">
        <v>696</v>
      </c>
    </row>
  </sheetData>
  <phoneticPr fontId="22" type="noConversion"/>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79F8-605E-A347-9292-D6F5F5365FFD}">
  <sheetPr>
    <pageSetUpPr fitToPage="1"/>
  </sheetPr>
  <dimension ref="A2:L322"/>
  <sheetViews>
    <sheetView topLeftCell="A277" zoomScale="140" zoomScaleNormal="140" zoomScalePageLayoutView="140" workbookViewId="0">
      <selection activeCell="G322" sqref="G322"/>
    </sheetView>
  </sheetViews>
  <sheetFormatPr baseColWidth="10" defaultRowHeight="15" x14ac:dyDescent="0.2"/>
  <cols>
    <col min="1" max="1" width="13.33203125" style="62" customWidth="1"/>
    <col min="2" max="2" width="31.1640625" style="63" customWidth="1"/>
    <col min="3" max="3" width="40.5" style="63" customWidth="1"/>
    <col min="4" max="4" width="16.33203125" style="63" customWidth="1"/>
    <col min="5" max="5" width="10.83203125" style="63"/>
    <col min="6" max="7" width="10.83203125" style="69" customWidth="1"/>
    <col min="8" max="8" width="14" style="63" customWidth="1"/>
    <col min="9" max="10" width="10.83203125" style="69"/>
    <col min="11" max="16384" width="10.83203125" style="63"/>
  </cols>
  <sheetData>
    <row r="2" spans="2:8" x14ac:dyDescent="0.2">
      <c r="B2" s="71" t="s">
        <v>123</v>
      </c>
      <c r="E2" s="62"/>
    </row>
    <row r="3" spans="2:8" ht="48" x14ac:dyDescent="0.2">
      <c r="B3" s="66" t="s">
        <v>101</v>
      </c>
      <c r="C3" s="66" t="s">
        <v>107</v>
      </c>
      <c r="D3" s="66" t="s">
        <v>82</v>
      </c>
      <c r="E3" s="106" t="s">
        <v>111</v>
      </c>
      <c r="F3" s="67" t="s">
        <v>112</v>
      </c>
      <c r="G3" s="67" t="s">
        <v>108</v>
      </c>
      <c r="H3" s="66" t="s">
        <v>109</v>
      </c>
    </row>
    <row r="4" spans="2:8" x14ac:dyDescent="0.2">
      <c r="B4" s="77" t="s">
        <v>95</v>
      </c>
      <c r="C4" s="77" t="s">
        <v>126</v>
      </c>
      <c r="D4" s="77">
        <v>820490</v>
      </c>
      <c r="E4" s="95">
        <v>43869</v>
      </c>
      <c r="F4" s="105">
        <v>15</v>
      </c>
      <c r="G4" s="105">
        <v>2.5</v>
      </c>
      <c r="H4" s="77">
        <v>2508720112</v>
      </c>
    </row>
    <row r="5" spans="2:8" x14ac:dyDescent="0.2">
      <c r="B5" s="77" t="s">
        <v>95</v>
      </c>
      <c r="C5" s="77" t="s">
        <v>127</v>
      </c>
      <c r="D5" s="77">
        <v>52117</v>
      </c>
      <c r="E5" s="95">
        <v>43871</v>
      </c>
      <c r="F5" s="105">
        <v>34.270000000000003</v>
      </c>
      <c r="G5" s="105">
        <v>5.71</v>
      </c>
      <c r="H5" s="77">
        <v>194101875</v>
      </c>
    </row>
    <row r="6" spans="2:8" x14ac:dyDescent="0.2">
      <c r="B6" s="77" t="s">
        <v>95</v>
      </c>
      <c r="C6" s="77" t="s">
        <v>127</v>
      </c>
      <c r="D6" s="77">
        <v>52127</v>
      </c>
      <c r="E6" s="95">
        <v>43873</v>
      </c>
      <c r="F6" s="105">
        <v>17.84</v>
      </c>
      <c r="G6" s="105">
        <v>2.97</v>
      </c>
      <c r="H6" s="77">
        <v>194101875</v>
      </c>
    </row>
    <row r="7" spans="2:8" x14ac:dyDescent="0.2">
      <c r="B7" s="77" t="s">
        <v>113</v>
      </c>
      <c r="C7" s="77" t="s">
        <v>114</v>
      </c>
      <c r="D7" s="77">
        <v>50038</v>
      </c>
      <c r="E7" s="95">
        <v>43884</v>
      </c>
      <c r="F7" s="105">
        <v>84</v>
      </c>
      <c r="G7" s="105">
        <v>14</v>
      </c>
      <c r="H7" s="77" t="s">
        <v>124</v>
      </c>
    </row>
    <row r="8" spans="2:8" x14ac:dyDescent="0.2">
      <c r="B8" s="77" t="s">
        <v>117</v>
      </c>
      <c r="C8" s="77" t="s">
        <v>116</v>
      </c>
      <c r="D8" s="77" t="s">
        <v>120</v>
      </c>
      <c r="E8" s="95">
        <v>43889</v>
      </c>
      <c r="F8" s="105">
        <v>200</v>
      </c>
      <c r="G8" s="105">
        <v>33.33</v>
      </c>
      <c r="H8" s="77" t="s">
        <v>125</v>
      </c>
    </row>
    <row r="9" spans="2:8" x14ac:dyDescent="0.2">
      <c r="B9" s="77" t="s">
        <v>117</v>
      </c>
      <c r="C9" s="77" t="s">
        <v>118</v>
      </c>
      <c r="D9" s="77">
        <v>53185</v>
      </c>
      <c r="E9" s="95">
        <v>43900</v>
      </c>
      <c r="F9" s="105">
        <v>27.99</v>
      </c>
      <c r="G9" s="105">
        <v>4.66</v>
      </c>
      <c r="H9" s="77">
        <v>755163721</v>
      </c>
    </row>
    <row r="10" spans="2:8" x14ac:dyDescent="0.2">
      <c r="B10" s="77" t="s">
        <v>31</v>
      </c>
      <c r="C10" s="77" t="s">
        <v>121</v>
      </c>
      <c r="D10" s="77">
        <v>14114</v>
      </c>
      <c r="E10" s="95">
        <v>43901</v>
      </c>
      <c r="F10" s="105">
        <v>84</v>
      </c>
      <c r="G10" s="105">
        <v>14</v>
      </c>
      <c r="H10" s="77">
        <v>167413406</v>
      </c>
    </row>
    <row r="11" spans="2:8" x14ac:dyDescent="0.2">
      <c r="B11" s="77" t="s">
        <v>93</v>
      </c>
      <c r="C11" s="77" t="s">
        <v>122</v>
      </c>
      <c r="D11" s="77">
        <v>602239032</v>
      </c>
      <c r="E11" s="95">
        <v>43921</v>
      </c>
      <c r="F11" s="105">
        <v>334.32</v>
      </c>
      <c r="G11" s="105">
        <v>55.72</v>
      </c>
      <c r="H11" s="77">
        <v>193548138</v>
      </c>
    </row>
    <row r="12" spans="2:8" x14ac:dyDescent="0.2">
      <c r="B12" s="77"/>
      <c r="C12" s="77"/>
      <c r="D12" s="77"/>
      <c r="E12" s="95"/>
      <c r="F12" s="105"/>
      <c r="G12" s="105"/>
      <c r="H12" s="77"/>
    </row>
    <row r="13" spans="2:8" x14ac:dyDescent="0.2">
      <c r="B13" s="77"/>
      <c r="C13" s="77"/>
      <c r="D13" s="77"/>
      <c r="E13" s="95"/>
      <c r="F13" s="105"/>
      <c r="G13" s="105">
        <f>SUM(G4:G11)</f>
        <v>132.88999999999999</v>
      </c>
      <c r="H13" s="77"/>
    </row>
    <row r="14" spans="2:8" x14ac:dyDescent="0.2">
      <c r="B14" s="77"/>
      <c r="C14" s="77"/>
      <c r="D14" s="77"/>
      <c r="E14" s="95"/>
      <c r="F14" s="105"/>
      <c r="G14" s="105"/>
      <c r="H14" s="77"/>
    </row>
    <row r="17" spans="1:8" x14ac:dyDescent="0.2">
      <c r="B17" s="71" t="s">
        <v>174</v>
      </c>
      <c r="D17" s="63" t="s">
        <v>210</v>
      </c>
    </row>
    <row r="19" spans="1:8" ht="48" x14ac:dyDescent="0.2">
      <c r="A19" s="95"/>
      <c r="B19" s="66" t="s">
        <v>101</v>
      </c>
      <c r="C19" s="66" t="s">
        <v>107</v>
      </c>
      <c r="D19" s="66" t="s">
        <v>82</v>
      </c>
      <c r="E19" s="106" t="s">
        <v>111</v>
      </c>
      <c r="F19" s="67" t="s">
        <v>112</v>
      </c>
      <c r="G19" s="67" t="s">
        <v>108</v>
      </c>
      <c r="H19" s="66" t="s">
        <v>109</v>
      </c>
    </row>
    <row r="20" spans="1:8" x14ac:dyDescent="0.2">
      <c r="A20" s="95">
        <v>43969</v>
      </c>
      <c r="B20" s="77" t="s">
        <v>197</v>
      </c>
      <c r="C20" s="77" t="s">
        <v>198</v>
      </c>
      <c r="D20" s="77"/>
      <c r="E20" s="95">
        <v>43920</v>
      </c>
      <c r="F20" s="96">
        <v>33.74</v>
      </c>
      <c r="G20" s="96">
        <v>6.75</v>
      </c>
      <c r="H20" s="77" t="s">
        <v>200</v>
      </c>
    </row>
    <row r="21" spans="1:8" x14ac:dyDescent="0.2">
      <c r="A21" s="95"/>
      <c r="B21" s="77" t="s">
        <v>151</v>
      </c>
      <c r="C21" s="77" t="s">
        <v>205</v>
      </c>
      <c r="D21" s="77"/>
      <c r="E21" s="95">
        <v>43922</v>
      </c>
      <c r="F21" s="96">
        <v>14.39</v>
      </c>
      <c r="G21" s="96">
        <v>2.4</v>
      </c>
      <c r="H21" s="77" t="s">
        <v>201</v>
      </c>
    </row>
    <row r="22" spans="1:8" x14ac:dyDescent="0.2">
      <c r="A22" s="95">
        <v>43936</v>
      </c>
      <c r="B22" s="77" t="s">
        <v>175</v>
      </c>
      <c r="C22" s="77" t="s">
        <v>177</v>
      </c>
      <c r="D22" s="77"/>
      <c r="E22" s="95">
        <v>43936</v>
      </c>
      <c r="F22" s="96">
        <v>260.60000000000002</v>
      </c>
      <c r="G22" s="96">
        <v>43.43</v>
      </c>
      <c r="H22" s="77" t="s">
        <v>176</v>
      </c>
    </row>
    <row r="23" spans="1:8" x14ac:dyDescent="0.2">
      <c r="A23" s="95"/>
      <c r="B23" s="77" t="s">
        <v>151</v>
      </c>
      <c r="C23" s="77" t="s">
        <v>206</v>
      </c>
      <c r="D23" s="77"/>
      <c r="E23" s="95">
        <v>43952</v>
      </c>
      <c r="F23" s="96">
        <v>14.39</v>
      </c>
      <c r="G23" s="96">
        <v>2.4</v>
      </c>
      <c r="H23" s="77" t="s">
        <v>201</v>
      </c>
    </row>
    <row r="24" spans="1:8" x14ac:dyDescent="0.2">
      <c r="A24" s="95">
        <v>43980</v>
      </c>
      <c r="B24" s="77" t="s">
        <v>129</v>
      </c>
      <c r="C24" s="77" t="s">
        <v>179</v>
      </c>
      <c r="D24" s="77">
        <v>13122</v>
      </c>
      <c r="E24" s="95">
        <v>43980</v>
      </c>
      <c r="F24" s="96">
        <v>924</v>
      </c>
      <c r="G24" s="96">
        <v>154</v>
      </c>
      <c r="H24" s="77">
        <v>321943962</v>
      </c>
    </row>
    <row r="25" spans="1:8" x14ac:dyDescent="0.2">
      <c r="A25" s="95"/>
      <c r="B25" s="77" t="s">
        <v>151</v>
      </c>
      <c r="C25" s="77" t="s">
        <v>207</v>
      </c>
      <c r="D25" s="77"/>
      <c r="E25" s="95">
        <v>43983</v>
      </c>
      <c r="F25" s="96">
        <v>14.39</v>
      </c>
      <c r="G25" s="96">
        <v>2.4</v>
      </c>
      <c r="H25" s="77" t="s">
        <v>201</v>
      </c>
    </row>
    <row r="26" spans="1:8" x14ac:dyDescent="0.2">
      <c r="A26" s="95">
        <v>44026</v>
      </c>
      <c r="B26" s="77" t="s">
        <v>129</v>
      </c>
      <c r="C26" s="77" t="s">
        <v>178</v>
      </c>
      <c r="D26" s="77">
        <v>13233</v>
      </c>
      <c r="E26" s="95">
        <v>44012</v>
      </c>
      <c r="F26" s="96">
        <v>414</v>
      </c>
      <c r="G26" s="96">
        <v>69</v>
      </c>
      <c r="H26" s="77">
        <v>321943962</v>
      </c>
    </row>
    <row r="27" spans="1:8" x14ac:dyDescent="0.2">
      <c r="A27" s="95"/>
      <c r="B27" s="77" t="s">
        <v>151</v>
      </c>
      <c r="C27" s="77" t="s">
        <v>208</v>
      </c>
      <c r="D27" s="77"/>
      <c r="E27" s="95">
        <v>44013</v>
      </c>
      <c r="F27" s="96">
        <v>14.39</v>
      </c>
      <c r="G27" s="96">
        <v>2.4</v>
      </c>
      <c r="H27" s="77" t="s">
        <v>201</v>
      </c>
    </row>
    <row r="28" spans="1:8" x14ac:dyDescent="0.2">
      <c r="A28" s="95"/>
      <c r="B28" s="77" t="s">
        <v>202</v>
      </c>
      <c r="C28" s="77" t="s">
        <v>203</v>
      </c>
      <c r="D28" s="77"/>
      <c r="E28" s="95">
        <v>44020</v>
      </c>
      <c r="F28" s="96">
        <v>29.99</v>
      </c>
      <c r="G28" s="96">
        <v>5</v>
      </c>
      <c r="H28" s="77" t="s">
        <v>110</v>
      </c>
    </row>
    <row r="29" spans="1:8" x14ac:dyDescent="0.2">
      <c r="A29" s="95">
        <v>44061</v>
      </c>
      <c r="B29" s="77" t="s">
        <v>151</v>
      </c>
      <c r="C29" s="77" t="s">
        <v>209</v>
      </c>
      <c r="D29" s="77"/>
      <c r="E29" s="95">
        <v>44025</v>
      </c>
      <c r="F29" s="96">
        <v>91.9</v>
      </c>
      <c r="G29" s="96">
        <v>15.32</v>
      </c>
      <c r="H29" s="77" t="s">
        <v>201</v>
      </c>
    </row>
    <row r="30" spans="1:8" x14ac:dyDescent="0.2">
      <c r="A30" s="95">
        <v>44043</v>
      </c>
      <c r="B30" s="77" t="s">
        <v>129</v>
      </c>
      <c r="C30" s="77" t="s">
        <v>132</v>
      </c>
      <c r="D30" s="77">
        <v>13293</v>
      </c>
      <c r="E30" s="95">
        <v>44043</v>
      </c>
      <c r="F30" s="96">
        <v>828</v>
      </c>
      <c r="G30" s="96">
        <v>138</v>
      </c>
      <c r="H30" s="77">
        <v>321943962</v>
      </c>
    </row>
    <row r="31" spans="1:8" x14ac:dyDescent="0.2">
      <c r="A31" s="95">
        <v>44088</v>
      </c>
      <c r="B31" s="77" t="s">
        <v>129</v>
      </c>
      <c r="C31" s="77" t="s">
        <v>135</v>
      </c>
      <c r="D31" s="77">
        <v>13341</v>
      </c>
      <c r="E31" s="95">
        <v>44074</v>
      </c>
      <c r="F31" s="96">
        <v>414</v>
      </c>
      <c r="G31" s="96">
        <v>69</v>
      </c>
      <c r="H31" s="77">
        <v>321943962</v>
      </c>
    </row>
    <row r="32" spans="1:8" x14ac:dyDescent="0.2">
      <c r="A32" s="95">
        <v>44095</v>
      </c>
      <c r="B32" s="77" t="s">
        <v>183</v>
      </c>
      <c r="C32" s="77" t="s">
        <v>138</v>
      </c>
      <c r="D32" s="77">
        <v>14304</v>
      </c>
      <c r="E32" s="95">
        <v>44075</v>
      </c>
      <c r="F32" s="96">
        <v>36</v>
      </c>
      <c r="G32" s="96">
        <v>6</v>
      </c>
      <c r="H32" s="77">
        <v>1674413406</v>
      </c>
    </row>
    <row r="33" spans="1:8" x14ac:dyDescent="0.2">
      <c r="A33" s="95">
        <v>44088</v>
      </c>
      <c r="B33" s="77" t="s">
        <v>136</v>
      </c>
      <c r="C33" s="77" t="s">
        <v>180</v>
      </c>
      <c r="D33" s="77">
        <v>6965</v>
      </c>
      <c r="E33" s="95">
        <v>44076</v>
      </c>
      <c r="F33" s="96">
        <v>222</v>
      </c>
      <c r="G33" s="96">
        <v>37</v>
      </c>
      <c r="H33" s="77">
        <v>582552525</v>
      </c>
    </row>
    <row r="34" spans="1:8" x14ac:dyDescent="0.2">
      <c r="A34" s="95">
        <v>44088</v>
      </c>
      <c r="B34" s="77" t="s">
        <v>137</v>
      </c>
      <c r="C34" s="77" t="s">
        <v>181</v>
      </c>
      <c r="D34" s="77" t="s">
        <v>139</v>
      </c>
      <c r="E34" s="95">
        <v>44089</v>
      </c>
      <c r="F34" s="96">
        <v>142</v>
      </c>
      <c r="G34" s="96">
        <v>4.17</v>
      </c>
      <c r="H34" s="77" t="s">
        <v>182</v>
      </c>
    </row>
    <row r="35" spans="1:8" x14ac:dyDescent="0.2">
      <c r="A35" s="95">
        <v>44118</v>
      </c>
      <c r="B35" s="77" t="s">
        <v>140</v>
      </c>
      <c r="C35" s="77" t="s">
        <v>141</v>
      </c>
      <c r="D35" s="77" t="s">
        <v>142</v>
      </c>
      <c r="E35" s="95">
        <v>44094</v>
      </c>
      <c r="F35" s="96">
        <v>60</v>
      </c>
      <c r="G35" s="96">
        <v>10</v>
      </c>
      <c r="H35" s="77">
        <v>665048328</v>
      </c>
    </row>
    <row r="36" spans="1:8" x14ac:dyDescent="0.2">
      <c r="A36" s="95">
        <v>44118</v>
      </c>
      <c r="B36" s="77" t="s">
        <v>183</v>
      </c>
      <c r="C36" s="77" t="s">
        <v>143</v>
      </c>
      <c r="D36" s="77">
        <v>14434</v>
      </c>
      <c r="E36" s="95">
        <v>44099</v>
      </c>
      <c r="F36" s="96">
        <v>36</v>
      </c>
      <c r="G36" s="96">
        <v>6</v>
      </c>
      <c r="H36" s="77">
        <v>1674413406</v>
      </c>
    </row>
    <row r="37" spans="1:8" x14ac:dyDescent="0.2">
      <c r="A37" s="95">
        <v>44118</v>
      </c>
      <c r="B37" s="77" t="s">
        <v>129</v>
      </c>
      <c r="C37" s="77" t="s">
        <v>153</v>
      </c>
      <c r="D37" s="77">
        <v>13418</v>
      </c>
      <c r="E37" s="95">
        <v>44104</v>
      </c>
      <c r="F37" s="96">
        <v>414</v>
      </c>
      <c r="G37" s="96">
        <v>69</v>
      </c>
      <c r="H37" s="77">
        <v>321943962</v>
      </c>
    </row>
    <row r="38" spans="1:8" x14ac:dyDescent="0.2">
      <c r="A38" s="95">
        <v>44153</v>
      </c>
      <c r="B38" s="77" t="s">
        <v>129</v>
      </c>
      <c r="C38" s="77" t="s">
        <v>160</v>
      </c>
      <c r="D38" s="77"/>
      <c r="E38" s="95">
        <v>44135</v>
      </c>
      <c r="F38" s="96">
        <v>828</v>
      </c>
      <c r="G38" s="96">
        <v>138</v>
      </c>
      <c r="H38" s="77">
        <v>321943962</v>
      </c>
    </row>
    <row r="39" spans="1:8" x14ac:dyDescent="0.2">
      <c r="A39" s="95">
        <v>44144</v>
      </c>
      <c r="B39" s="77" t="s">
        <v>189</v>
      </c>
      <c r="C39" s="77" t="s">
        <v>188</v>
      </c>
      <c r="D39" s="77">
        <v>43018</v>
      </c>
      <c r="E39" s="95">
        <v>44141</v>
      </c>
      <c r="F39" s="96">
        <v>96.42</v>
      </c>
      <c r="G39" s="96">
        <v>16.07</v>
      </c>
      <c r="H39" s="77">
        <v>194101875</v>
      </c>
    </row>
    <row r="40" spans="1:8" x14ac:dyDescent="0.2">
      <c r="A40" s="95">
        <v>44153</v>
      </c>
      <c r="B40" s="77" t="s">
        <v>186</v>
      </c>
      <c r="C40" s="77" t="s">
        <v>159</v>
      </c>
      <c r="D40" s="77"/>
      <c r="E40" s="95">
        <v>44144</v>
      </c>
      <c r="F40" s="96">
        <v>95.88</v>
      </c>
      <c r="G40" s="96">
        <v>15.98</v>
      </c>
      <c r="H40" s="77" t="s">
        <v>187</v>
      </c>
    </row>
    <row r="41" spans="1:8" x14ac:dyDescent="0.2">
      <c r="A41" s="95">
        <v>44154</v>
      </c>
      <c r="B41" s="77" t="s">
        <v>192</v>
      </c>
      <c r="C41" s="77" t="s">
        <v>190</v>
      </c>
      <c r="D41" s="77"/>
      <c r="E41" s="95">
        <v>44145</v>
      </c>
      <c r="F41" s="96">
        <v>85.47</v>
      </c>
      <c r="G41" s="96">
        <v>14.25</v>
      </c>
      <c r="H41" s="77" t="s">
        <v>191</v>
      </c>
    </row>
    <row r="42" spans="1:8" x14ac:dyDescent="0.2">
      <c r="A42" s="95"/>
      <c r="B42" s="77" t="s">
        <v>193</v>
      </c>
      <c r="C42" s="77" t="s">
        <v>194</v>
      </c>
      <c r="D42" s="77"/>
      <c r="E42" s="95">
        <v>44145</v>
      </c>
      <c r="F42" s="96">
        <v>29.94</v>
      </c>
      <c r="G42" s="96">
        <v>0</v>
      </c>
      <c r="H42" s="97" t="s">
        <v>204</v>
      </c>
    </row>
    <row r="43" spans="1:8" x14ac:dyDescent="0.2">
      <c r="A43" s="95">
        <v>44148</v>
      </c>
      <c r="B43" s="77" t="s">
        <v>155</v>
      </c>
      <c r="C43" s="77" t="s">
        <v>184</v>
      </c>
      <c r="D43" s="77"/>
      <c r="E43" s="95">
        <v>44148</v>
      </c>
      <c r="F43" s="96">
        <v>120</v>
      </c>
      <c r="G43" s="96">
        <v>20</v>
      </c>
      <c r="H43" s="77">
        <v>376832713</v>
      </c>
    </row>
    <row r="44" spans="1:8" x14ac:dyDescent="0.2">
      <c r="A44" s="95">
        <v>43846</v>
      </c>
      <c r="B44" s="77" t="s">
        <v>185</v>
      </c>
      <c r="C44" s="77" t="s">
        <v>157</v>
      </c>
      <c r="D44" s="77" t="s">
        <v>158</v>
      </c>
      <c r="E44" s="95">
        <v>44148</v>
      </c>
      <c r="F44" s="96">
        <v>432</v>
      </c>
      <c r="G44" s="96">
        <v>72</v>
      </c>
      <c r="H44" s="77">
        <v>329194777</v>
      </c>
    </row>
    <row r="45" spans="1:8" x14ac:dyDescent="0.2">
      <c r="A45" s="95">
        <v>44179</v>
      </c>
      <c r="B45" s="77" t="s">
        <v>171</v>
      </c>
      <c r="C45" s="77" t="s">
        <v>172</v>
      </c>
      <c r="D45" s="77">
        <v>303821</v>
      </c>
      <c r="E45" s="95">
        <v>44162</v>
      </c>
      <c r="F45" s="96">
        <v>240</v>
      </c>
      <c r="G45" s="96">
        <v>40</v>
      </c>
      <c r="H45" s="77">
        <v>120431530</v>
      </c>
    </row>
    <row r="46" spans="1:8" x14ac:dyDescent="0.2">
      <c r="A46" s="95">
        <v>44179</v>
      </c>
      <c r="B46" s="77" t="s">
        <v>195</v>
      </c>
      <c r="C46" s="77" t="s">
        <v>196</v>
      </c>
      <c r="D46" s="77">
        <v>30199</v>
      </c>
      <c r="E46" s="95">
        <v>44165</v>
      </c>
      <c r="F46" s="96">
        <v>576</v>
      </c>
      <c r="G46" s="96">
        <v>96</v>
      </c>
      <c r="H46" s="77" t="s">
        <v>199</v>
      </c>
    </row>
    <row r="47" spans="1:8" x14ac:dyDescent="0.2">
      <c r="E47" s="62"/>
      <c r="F47" s="70">
        <f>SUM(F20:F46)</f>
        <v>6467.5</v>
      </c>
      <c r="G47" s="70">
        <f>SUM(G20:G46)</f>
        <v>1054.57</v>
      </c>
    </row>
    <row r="48" spans="1:8" x14ac:dyDescent="0.2">
      <c r="E48" s="62"/>
    </row>
    <row r="49" spans="1:8" x14ac:dyDescent="0.2">
      <c r="B49" s="71" t="s">
        <v>267</v>
      </c>
    </row>
    <row r="50" spans="1:8" ht="48" x14ac:dyDescent="0.2">
      <c r="A50" s="95"/>
      <c r="B50" s="66" t="s">
        <v>101</v>
      </c>
      <c r="C50" s="66" t="s">
        <v>107</v>
      </c>
      <c r="D50" s="66" t="s">
        <v>82</v>
      </c>
      <c r="E50" s="68" t="s">
        <v>111</v>
      </c>
      <c r="F50" s="67" t="s">
        <v>112</v>
      </c>
      <c r="G50" s="67" t="s">
        <v>108</v>
      </c>
      <c r="H50" s="66" t="s">
        <v>109</v>
      </c>
    </row>
    <row r="51" spans="1:8" ht="16" x14ac:dyDescent="0.2">
      <c r="A51" s="95"/>
      <c r="B51" s="58" t="s">
        <v>95</v>
      </c>
      <c r="C51" s="58" t="s">
        <v>162</v>
      </c>
      <c r="D51" s="78" t="s">
        <v>169</v>
      </c>
      <c r="E51" s="106">
        <v>44172</v>
      </c>
      <c r="F51" s="107">
        <v>61.92</v>
      </c>
      <c r="G51" s="107">
        <v>10.32</v>
      </c>
      <c r="H51" s="108" t="s">
        <v>225</v>
      </c>
    </row>
    <row r="52" spans="1:8" ht="16" x14ac:dyDescent="0.2">
      <c r="A52" s="95">
        <v>44179</v>
      </c>
      <c r="B52" s="58" t="s">
        <v>95</v>
      </c>
      <c r="C52" s="58" t="s">
        <v>166</v>
      </c>
      <c r="D52" s="78" t="s">
        <v>168</v>
      </c>
      <c r="E52" s="106">
        <v>44170</v>
      </c>
      <c r="F52" s="107">
        <v>27.06</v>
      </c>
      <c r="G52" s="107">
        <v>4.62</v>
      </c>
      <c r="H52" s="108" t="s">
        <v>223</v>
      </c>
    </row>
    <row r="53" spans="1:8" ht="16" x14ac:dyDescent="0.2">
      <c r="A53" s="95">
        <v>44179</v>
      </c>
      <c r="B53" s="64" t="s">
        <v>95</v>
      </c>
      <c r="C53" s="64" t="s">
        <v>167</v>
      </c>
      <c r="D53" s="98" t="s">
        <v>170</v>
      </c>
      <c r="E53" s="106">
        <v>44172</v>
      </c>
      <c r="F53" s="107">
        <v>11.99</v>
      </c>
      <c r="G53" s="107">
        <v>2</v>
      </c>
      <c r="H53" s="108" t="s">
        <v>224</v>
      </c>
    </row>
    <row r="54" spans="1:8" x14ac:dyDescent="0.2">
      <c r="A54" s="95">
        <v>44553</v>
      </c>
      <c r="B54" s="77" t="s">
        <v>140</v>
      </c>
      <c r="C54" s="77" t="s">
        <v>211</v>
      </c>
      <c r="D54" s="77" t="s">
        <v>212</v>
      </c>
      <c r="E54" s="95">
        <v>44186</v>
      </c>
      <c r="F54" s="96">
        <v>384</v>
      </c>
      <c r="G54" s="96">
        <v>64</v>
      </c>
      <c r="H54" s="77">
        <v>665048328</v>
      </c>
    </row>
    <row r="55" spans="1:8" x14ac:dyDescent="0.2">
      <c r="A55" s="95">
        <v>44208</v>
      </c>
      <c r="B55" s="77" t="s">
        <v>136</v>
      </c>
      <c r="C55" s="77" t="s">
        <v>214</v>
      </c>
      <c r="D55" s="77">
        <v>7083</v>
      </c>
      <c r="E55" s="95">
        <v>44200</v>
      </c>
      <c r="F55" s="96">
        <v>15400.8</v>
      </c>
      <c r="G55" s="96">
        <v>2566.8000000000002</v>
      </c>
      <c r="H55" s="77">
        <v>582552525</v>
      </c>
    </row>
    <row r="56" spans="1:8" x14ac:dyDescent="0.2">
      <c r="A56" s="95">
        <v>44208</v>
      </c>
      <c r="B56" s="77" t="s">
        <v>136</v>
      </c>
      <c r="C56" s="77" t="s">
        <v>215</v>
      </c>
      <c r="D56" s="77">
        <v>7084</v>
      </c>
      <c r="E56" s="95">
        <v>44200</v>
      </c>
      <c r="F56" s="96">
        <v>2614.8000000000002</v>
      </c>
      <c r="G56" s="96">
        <v>435.8</v>
      </c>
      <c r="H56" s="77">
        <v>582552525</v>
      </c>
    </row>
    <row r="57" spans="1:8" x14ac:dyDescent="0.2">
      <c r="A57" s="95">
        <v>44222</v>
      </c>
      <c r="B57" s="77" t="s">
        <v>31</v>
      </c>
      <c r="C57" s="77" t="s">
        <v>216</v>
      </c>
      <c r="D57" s="77">
        <v>14594</v>
      </c>
      <c r="E57" s="95">
        <v>44211</v>
      </c>
      <c r="F57" s="96">
        <v>36</v>
      </c>
      <c r="G57" s="96">
        <v>6</v>
      </c>
      <c r="H57" s="77">
        <v>167413406</v>
      </c>
    </row>
    <row r="58" spans="1:8" x14ac:dyDescent="0.2">
      <c r="A58" s="95">
        <v>44244</v>
      </c>
      <c r="B58" s="77" t="s">
        <v>31</v>
      </c>
      <c r="C58" s="77" t="s">
        <v>216</v>
      </c>
      <c r="D58" s="77">
        <v>14639</v>
      </c>
      <c r="E58" s="95">
        <v>44221</v>
      </c>
      <c r="F58" s="96">
        <v>36</v>
      </c>
      <c r="G58" s="96">
        <v>6</v>
      </c>
      <c r="H58" s="77">
        <v>167413406</v>
      </c>
    </row>
    <row r="59" spans="1:8" x14ac:dyDescent="0.2">
      <c r="A59" s="95">
        <v>44244</v>
      </c>
      <c r="B59" s="77" t="s">
        <v>95</v>
      </c>
      <c r="C59" s="77" t="s">
        <v>218</v>
      </c>
      <c r="D59" s="77" t="s">
        <v>219</v>
      </c>
      <c r="E59" s="95">
        <v>44236</v>
      </c>
      <c r="F59" s="96">
        <v>73.12</v>
      </c>
      <c r="G59" s="96">
        <v>12.19</v>
      </c>
      <c r="H59" s="77">
        <v>61157341</v>
      </c>
    </row>
    <row r="60" spans="1:8" x14ac:dyDescent="0.2">
      <c r="A60" s="95">
        <v>44256</v>
      </c>
      <c r="B60" s="77" t="s">
        <v>154</v>
      </c>
      <c r="C60" s="77" t="s">
        <v>217</v>
      </c>
      <c r="D60" s="77">
        <v>43230</v>
      </c>
      <c r="E60" s="95">
        <v>44252</v>
      </c>
      <c r="F60" s="96">
        <v>103.64</v>
      </c>
      <c r="G60" s="96">
        <v>17.27</v>
      </c>
      <c r="H60" s="77">
        <v>194101875</v>
      </c>
    </row>
    <row r="61" spans="1:8" x14ac:dyDescent="0.2">
      <c r="A61" s="95">
        <v>44260</v>
      </c>
      <c r="B61" s="77" t="s">
        <v>95</v>
      </c>
      <c r="C61" s="77" t="s">
        <v>221</v>
      </c>
      <c r="D61" s="77" t="s">
        <v>220</v>
      </c>
      <c r="E61" s="95">
        <v>44239</v>
      </c>
      <c r="F61" s="96">
        <v>26.39</v>
      </c>
      <c r="G61" s="96">
        <v>4.4000000000000004</v>
      </c>
      <c r="H61" s="77" t="s">
        <v>226</v>
      </c>
    </row>
    <row r="62" spans="1:8" x14ac:dyDescent="0.2">
      <c r="A62" s="95">
        <v>44260</v>
      </c>
      <c r="B62" s="77" t="s">
        <v>95</v>
      </c>
      <c r="C62" s="77" t="s">
        <v>222</v>
      </c>
      <c r="D62" s="77">
        <v>17405</v>
      </c>
      <c r="E62" s="95">
        <v>44264</v>
      </c>
      <c r="F62" s="96">
        <v>86.4</v>
      </c>
      <c r="G62" s="96">
        <v>14.4</v>
      </c>
      <c r="H62" s="77">
        <v>887750270</v>
      </c>
    </row>
    <row r="63" spans="1:8" x14ac:dyDescent="0.2">
      <c r="A63" s="95"/>
      <c r="B63" s="77" t="s">
        <v>95</v>
      </c>
      <c r="C63" s="77" t="s">
        <v>227</v>
      </c>
      <c r="D63" s="77" t="s">
        <v>228</v>
      </c>
      <c r="E63" s="95">
        <v>44244</v>
      </c>
      <c r="F63" s="96">
        <v>6.85</v>
      </c>
      <c r="G63" s="96">
        <v>0.76</v>
      </c>
      <c r="H63" s="77" t="s">
        <v>229</v>
      </c>
    </row>
    <row r="64" spans="1:8" x14ac:dyDescent="0.2">
      <c r="G64" s="69">
        <f>SUM(G51:G63)</f>
        <v>3144.5600000000009</v>
      </c>
    </row>
    <row r="65" spans="1:8" x14ac:dyDescent="0.2">
      <c r="B65" s="71" t="s">
        <v>268</v>
      </c>
    </row>
    <row r="66" spans="1:8" ht="48" x14ac:dyDescent="0.2">
      <c r="A66" s="95" t="s">
        <v>269</v>
      </c>
      <c r="B66" s="66" t="s">
        <v>101</v>
      </c>
      <c r="C66" s="66" t="s">
        <v>107</v>
      </c>
      <c r="D66" s="66" t="s">
        <v>82</v>
      </c>
      <c r="E66" s="68" t="s">
        <v>111</v>
      </c>
      <c r="F66" s="67" t="s">
        <v>112</v>
      </c>
      <c r="G66" s="67" t="s">
        <v>108</v>
      </c>
      <c r="H66" s="66" t="s">
        <v>109</v>
      </c>
    </row>
    <row r="67" spans="1:8" x14ac:dyDescent="0.2">
      <c r="A67" s="95">
        <v>44298</v>
      </c>
      <c r="B67" s="58" t="s">
        <v>129</v>
      </c>
      <c r="C67" s="58" t="s">
        <v>232</v>
      </c>
      <c r="D67" s="78">
        <v>13745</v>
      </c>
      <c r="E67" s="95">
        <v>44286</v>
      </c>
      <c r="F67" s="105">
        <v>414</v>
      </c>
      <c r="G67" s="105">
        <v>69</v>
      </c>
      <c r="H67" s="77">
        <v>321943962</v>
      </c>
    </row>
    <row r="68" spans="1:8" x14ac:dyDescent="0.2">
      <c r="A68" s="95">
        <v>44504</v>
      </c>
      <c r="B68" s="58" t="s">
        <v>97</v>
      </c>
      <c r="C68" s="58" t="s">
        <v>234</v>
      </c>
      <c r="D68" s="78">
        <v>30117</v>
      </c>
      <c r="E68" s="95">
        <v>44130</v>
      </c>
      <c r="F68" s="105">
        <v>60</v>
      </c>
      <c r="G68" s="105">
        <v>10</v>
      </c>
      <c r="H68" s="77">
        <v>744541532</v>
      </c>
    </row>
    <row r="69" spans="1:8" x14ac:dyDescent="0.2">
      <c r="A69" s="95">
        <v>44286</v>
      </c>
      <c r="B69" s="58" t="s">
        <v>93</v>
      </c>
      <c r="C69" s="58" t="s">
        <v>235</v>
      </c>
      <c r="D69" s="78">
        <v>602449280</v>
      </c>
      <c r="E69" s="95">
        <v>44286</v>
      </c>
      <c r="F69" s="105">
        <v>356.92</v>
      </c>
      <c r="G69" s="105">
        <v>59.48</v>
      </c>
      <c r="H69" s="77">
        <v>193548138</v>
      </c>
    </row>
    <row r="70" spans="1:8" x14ac:dyDescent="0.2">
      <c r="A70" s="95">
        <v>44298</v>
      </c>
      <c r="B70" s="58" t="s">
        <v>134</v>
      </c>
      <c r="C70" s="58" t="s">
        <v>230</v>
      </c>
      <c r="D70" s="78">
        <v>489511</v>
      </c>
      <c r="E70" s="95">
        <v>44295</v>
      </c>
      <c r="F70" s="105">
        <v>264</v>
      </c>
      <c r="G70" s="105">
        <v>44</v>
      </c>
      <c r="H70" s="77">
        <v>819157023</v>
      </c>
    </row>
    <row r="71" spans="1:8" x14ac:dyDescent="0.2">
      <c r="A71" s="95">
        <v>44298</v>
      </c>
      <c r="B71" s="58" t="s">
        <v>134</v>
      </c>
      <c r="C71" s="58" t="s">
        <v>270</v>
      </c>
      <c r="D71" s="78">
        <v>489513</v>
      </c>
      <c r="E71" s="95">
        <v>44295</v>
      </c>
      <c r="F71" s="105">
        <v>86.4</v>
      </c>
      <c r="G71" s="105">
        <v>14.4</v>
      </c>
      <c r="H71" s="77">
        <v>819157023</v>
      </c>
    </row>
    <row r="72" spans="1:8" x14ac:dyDescent="0.2">
      <c r="A72" s="95">
        <v>44326</v>
      </c>
      <c r="B72" s="58" t="s">
        <v>129</v>
      </c>
      <c r="C72" s="58" t="s">
        <v>236</v>
      </c>
      <c r="D72" s="78">
        <v>13807</v>
      </c>
      <c r="E72" s="95">
        <v>44316</v>
      </c>
      <c r="F72" s="105">
        <v>414</v>
      </c>
      <c r="G72" s="105">
        <v>69</v>
      </c>
      <c r="H72" s="77">
        <v>321943962</v>
      </c>
    </row>
    <row r="73" spans="1:8" x14ac:dyDescent="0.2">
      <c r="A73" s="95">
        <v>44327</v>
      </c>
      <c r="B73" s="58" t="s">
        <v>134</v>
      </c>
      <c r="C73" s="58" t="s">
        <v>237</v>
      </c>
      <c r="D73" s="78">
        <v>391</v>
      </c>
      <c r="E73" s="95">
        <v>44309</v>
      </c>
      <c r="F73" s="105">
        <v>5.62</v>
      </c>
      <c r="G73" s="105">
        <v>1.1200000000000001</v>
      </c>
      <c r="H73" s="77">
        <v>222516987</v>
      </c>
    </row>
    <row r="74" spans="1:8" x14ac:dyDescent="0.2">
      <c r="A74" s="95">
        <v>44361</v>
      </c>
      <c r="B74" s="58" t="s">
        <v>129</v>
      </c>
      <c r="C74" s="58" t="s">
        <v>238</v>
      </c>
      <c r="D74" s="78">
        <v>13865</v>
      </c>
      <c r="E74" s="95">
        <v>44347</v>
      </c>
      <c r="F74" s="105">
        <v>828</v>
      </c>
      <c r="G74" s="105">
        <v>138</v>
      </c>
      <c r="H74" s="77">
        <v>321943962</v>
      </c>
    </row>
    <row r="75" spans="1:8" x14ac:dyDescent="0.2">
      <c r="A75" s="95">
        <v>44362</v>
      </c>
      <c r="B75" s="117" t="s">
        <v>95</v>
      </c>
      <c r="C75" s="77" t="s">
        <v>240</v>
      </c>
      <c r="D75" s="78" t="s">
        <v>244</v>
      </c>
      <c r="E75" s="95">
        <v>44362</v>
      </c>
      <c r="F75" s="105">
        <v>208.4</v>
      </c>
      <c r="G75" s="105">
        <v>34.74</v>
      </c>
      <c r="H75" s="77">
        <v>895296854</v>
      </c>
    </row>
    <row r="76" spans="1:8" ht="16" x14ac:dyDescent="0.2">
      <c r="A76" s="95">
        <v>44384</v>
      </c>
      <c r="B76" s="118" t="s">
        <v>241</v>
      </c>
      <c r="C76" s="108" t="s">
        <v>242</v>
      </c>
      <c r="D76" s="78" t="s">
        <v>245</v>
      </c>
      <c r="E76" s="95">
        <v>44384</v>
      </c>
      <c r="F76" s="105">
        <v>450</v>
      </c>
      <c r="G76" s="105">
        <v>75</v>
      </c>
      <c r="H76" s="77">
        <v>329194777</v>
      </c>
    </row>
    <row r="77" spans="1:8" x14ac:dyDescent="0.2">
      <c r="A77" s="95">
        <v>44384</v>
      </c>
      <c r="B77" s="117" t="s">
        <v>129</v>
      </c>
      <c r="C77" s="117" t="s">
        <v>243</v>
      </c>
      <c r="D77" s="78">
        <v>13924</v>
      </c>
      <c r="E77" s="95">
        <v>44377</v>
      </c>
      <c r="F77" s="105">
        <v>828</v>
      </c>
      <c r="G77" s="105">
        <v>138</v>
      </c>
      <c r="H77" s="77">
        <v>321943962</v>
      </c>
    </row>
    <row r="78" spans="1:8" x14ac:dyDescent="0.2">
      <c r="A78" s="95">
        <v>44392</v>
      </c>
      <c r="B78" s="117" t="s">
        <v>246</v>
      </c>
      <c r="C78" s="77" t="s">
        <v>271</v>
      </c>
      <c r="D78" s="78">
        <v>2287</v>
      </c>
      <c r="E78" s="95">
        <v>44392</v>
      </c>
      <c r="F78" s="105">
        <v>117.6</v>
      </c>
      <c r="G78" s="105">
        <v>19.600000000000001</v>
      </c>
      <c r="H78" s="77">
        <v>372837764</v>
      </c>
    </row>
    <row r="79" spans="1:8" x14ac:dyDescent="0.2">
      <c r="A79" s="95">
        <v>44428</v>
      </c>
      <c r="B79" s="117" t="s">
        <v>95</v>
      </c>
      <c r="C79" s="77" t="s">
        <v>247</v>
      </c>
      <c r="D79" s="78">
        <v>96841634</v>
      </c>
      <c r="E79" s="95">
        <v>44390</v>
      </c>
      <c r="F79" s="105">
        <v>143.88</v>
      </c>
      <c r="G79" s="105">
        <v>23.98</v>
      </c>
      <c r="H79" s="77" t="s">
        <v>272</v>
      </c>
    </row>
    <row r="80" spans="1:8" x14ac:dyDescent="0.2">
      <c r="A80" s="95">
        <v>44428</v>
      </c>
      <c r="B80" s="117" t="s">
        <v>129</v>
      </c>
      <c r="C80" s="77" t="s">
        <v>248</v>
      </c>
      <c r="D80" s="78">
        <v>13981</v>
      </c>
      <c r="E80" s="95">
        <v>44408</v>
      </c>
      <c r="F80" s="105">
        <v>414</v>
      </c>
      <c r="G80" s="105">
        <v>69</v>
      </c>
      <c r="H80" s="77">
        <v>321943962</v>
      </c>
    </row>
    <row r="81" spans="1:8" x14ac:dyDescent="0.2">
      <c r="A81" s="95">
        <v>44452</v>
      </c>
      <c r="B81" s="117" t="s">
        <v>129</v>
      </c>
      <c r="C81" s="77" t="s">
        <v>250</v>
      </c>
      <c r="D81" s="78">
        <v>14036</v>
      </c>
      <c r="E81" s="95">
        <v>44439</v>
      </c>
      <c r="F81" s="105">
        <v>828</v>
      </c>
      <c r="G81" s="105">
        <v>138</v>
      </c>
      <c r="H81" s="77">
        <v>321943962</v>
      </c>
    </row>
    <row r="82" spans="1:8" x14ac:dyDescent="0.2">
      <c r="A82" s="95">
        <v>44494</v>
      </c>
      <c r="B82" s="117" t="s">
        <v>129</v>
      </c>
      <c r="C82" s="77" t="s">
        <v>254</v>
      </c>
      <c r="D82" s="78">
        <v>14100</v>
      </c>
      <c r="E82" s="95">
        <v>44469</v>
      </c>
      <c r="F82" s="105">
        <v>828</v>
      </c>
      <c r="G82" s="105">
        <v>138</v>
      </c>
      <c r="H82" s="77">
        <v>321943962</v>
      </c>
    </row>
    <row r="83" spans="1:8" x14ac:dyDescent="0.2">
      <c r="A83" s="95">
        <v>44497</v>
      </c>
      <c r="B83" s="117" t="s">
        <v>97</v>
      </c>
      <c r="C83" s="77" t="s">
        <v>253</v>
      </c>
      <c r="D83" s="78">
        <v>30861</v>
      </c>
      <c r="E83" s="95">
        <v>44494</v>
      </c>
      <c r="F83" s="105">
        <v>60</v>
      </c>
      <c r="G83" s="105">
        <v>10</v>
      </c>
      <c r="H83" s="77">
        <v>744541532</v>
      </c>
    </row>
    <row r="84" spans="1:8" x14ac:dyDescent="0.2">
      <c r="A84" s="95">
        <v>44515</v>
      </c>
      <c r="B84" s="117" t="s">
        <v>255</v>
      </c>
      <c r="C84" s="77" t="s">
        <v>273</v>
      </c>
      <c r="D84" s="78">
        <v>96904</v>
      </c>
      <c r="E84" s="95">
        <v>44494</v>
      </c>
      <c r="F84" s="105">
        <v>453.75</v>
      </c>
      <c r="G84" s="105">
        <v>75.63</v>
      </c>
      <c r="H84" s="77">
        <v>859024315</v>
      </c>
    </row>
    <row r="85" spans="1:8" x14ac:dyDescent="0.2">
      <c r="A85" s="95">
        <v>44515</v>
      </c>
      <c r="B85" s="117" t="s">
        <v>113</v>
      </c>
      <c r="C85" s="77" t="s">
        <v>256</v>
      </c>
      <c r="D85" s="78">
        <v>50368</v>
      </c>
      <c r="E85" s="95">
        <v>44502</v>
      </c>
      <c r="F85" s="105">
        <v>84</v>
      </c>
      <c r="G85" s="105">
        <v>14</v>
      </c>
      <c r="H85" s="77">
        <v>899727928</v>
      </c>
    </row>
    <row r="86" spans="1:8" x14ac:dyDescent="0.2">
      <c r="A86" s="95">
        <v>44515</v>
      </c>
      <c r="B86" s="117" t="s">
        <v>171</v>
      </c>
      <c r="C86" s="77" t="s">
        <v>257</v>
      </c>
      <c r="D86" s="78">
        <v>307878</v>
      </c>
      <c r="E86" s="95">
        <v>44462</v>
      </c>
      <c r="F86" s="105">
        <v>240</v>
      </c>
      <c r="G86" s="105">
        <v>40</v>
      </c>
      <c r="H86" s="77">
        <v>120431530</v>
      </c>
    </row>
    <row r="87" spans="1:8" x14ac:dyDescent="0.2">
      <c r="A87" s="95">
        <v>44517</v>
      </c>
      <c r="B87" s="58" t="s">
        <v>129</v>
      </c>
      <c r="C87" s="58" t="s">
        <v>258</v>
      </c>
      <c r="D87" s="78">
        <v>14168</v>
      </c>
      <c r="E87" s="95">
        <v>44500</v>
      </c>
      <c r="F87" s="105">
        <v>414</v>
      </c>
      <c r="G87" s="105">
        <v>69</v>
      </c>
      <c r="H87" s="77">
        <v>321943962</v>
      </c>
    </row>
    <row r="88" spans="1:8" x14ac:dyDescent="0.2">
      <c r="A88" s="95">
        <v>44544</v>
      </c>
      <c r="B88" s="77" t="s">
        <v>95</v>
      </c>
      <c r="C88" s="77" t="s">
        <v>259</v>
      </c>
      <c r="D88" s="78" t="s">
        <v>265</v>
      </c>
      <c r="E88" s="95">
        <v>44509</v>
      </c>
      <c r="F88" s="105">
        <v>95.88</v>
      </c>
      <c r="G88" s="105">
        <v>15.98</v>
      </c>
      <c r="H88" s="77" t="s">
        <v>187</v>
      </c>
    </row>
    <row r="89" spans="1:8" x14ac:dyDescent="0.2">
      <c r="A89" s="95">
        <v>44544</v>
      </c>
      <c r="B89" s="77" t="s">
        <v>97</v>
      </c>
      <c r="C89" s="77" t="s">
        <v>260</v>
      </c>
      <c r="D89" s="78">
        <v>30928</v>
      </c>
      <c r="E89" s="95">
        <v>44525</v>
      </c>
      <c r="F89" s="105">
        <v>150</v>
      </c>
      <c r="G89" s="105">
        <v>25</v>
      </c>
      <c r="H89" s="77">
        <v>744541532</v>
      </c>
    </row>
    <row r="90" spans="1:8" x14ac:dyDescent="0.2">
      <c r="A90" s="95">
        <v>44544</v>
      </c>
      <c r="B90" s="77" t="s">
        <v>261</v>
      </c>
      <c r="C90" s="77" t="s">
        <v>262</v>
      </c>
      <c r="D90" s="78" t="s">
        <v>274</v>
      </c>
      <c r="E90" s="95">
        <v>44526</v>
      </c>
      <c r="F90" s="105">
        <v>150</v>
      </c>
      <c r="G90" s="105">
        <v>25</v>
      </c>
      <c r="H90" s="77">
        <v>376832713</v>
      </c>
    </row>
    <row r="91" spans="1:8" x14ac:dyDescent="0.2">
      <c r="A91" s="95">
        <v>44544</v>
      </c>
      <c r="B91" s="77" t="s">
        <v>263</v>
      </c>
      <c r="C91" s="77" t="s">
        <v>264</v>
      </c>
      <c r="D91" s="78">
        <v>30944</v>
      </c>
      <c r="E91" s="95">
        <v>44530</v>
      </c>
      <c r="F91" s="105">
        <v>576</v>
      </c>
      <c r="G91" s="105">
        <v>96</v>
      </c>
      <c r="H91" s="77">
        <v>744541532</v>
      </c>
    </row>
    <row r="92" spans="1:8" x14ac:dyDescent="0.2">
      <c r="A92" s="95">
        <v>44544</v>
      </c>
      <c r="B92" s="77" t="s">
        <v>95</v>
      </c>
      <c r="C92" s="77" t="s">
        <v>278</v>
      </c>
      <c r="D92" s="78" t="s">
        <v>275</v>
      </c>
      <c r="E92" s="95">
        <v>44543</v>
      </c>
      <c r="F92" s="105">
        <v>52.3</v>
      </c>
      <c r="G92" s="105">
        <v>8.7200000000000006</v>
      </c>
      <c r="H92" s="77">
        <v>385529654</v>
      </c>
    </row>
    <row r="93" spans="1:8" x14ac:dyDescent="0.2">
      <c r="A93" s="95">
        <v>44544</v>
      </c>
      <c r="B93" s="77" t="s">
        <v>95</v>
      </c>
      <c r="C93" s="77" t="s">
        <v>277</v>
      </c>
      <c r="D93" s="78" t="s">
        <v>276</v>
      </c>
      <c r="E93" s="95">
        <v>44543</v>
      </c>
      <c r="F93" s="105">
        <v>25.7</v>
      </c>
      <c r="G93" s="105">
        <v>4.28</v>
      </c>
      <c r="H93" s="77">
        <v>385529654</v>
      </c>
    </row>
    <row r="94" spans="1:8" x14ac:dyDescent="0.2">
      <c r="A94" s="95">
        <v>44544</v>
      </c>
      <c r="B94" s="77" t="s">
        <v>129</v>
      </c>
      <c r="C94" s="58" t="s">
        <v>266</v>
      </c>
      <c r="D94" s="78">
        <v>14237</v>
      </c>
      <c r="E94" s="95">
        <v>44530</v>
      </c>
      <c r="F94" s="105">
        <v>414</v>
      </c>
      <c r="G94" s="105">
        <v>69</v>
      </c>
      <c r="H94" s="77">
        <v>321943962</v>
      </c>
    </row>
    <row r="95" spans="1:8" x14ac:dyDescent="0.2">
      <c r="A95" s="95">
        <v>44544</v>
      </c>
      <c r="B95" s="77" t="s">
        <v>231</v>
      </c>
      <c r="C95" s="77" t="s">
        <v>279</v>
      </c>
      <c r="D95" s="78">
        <v>70704</v>
      </c>
      <c r="E95" s="95">
        <v>44517</v>
      </c>
      <c r="F95" s="105">
        <v>12.95</v>
      </c>
      <c r="G95" s="105">
        <v>2.16</v>
      </c>
      <c r="H95" s="77">
        <v>751847510</v>
      </c>
    </row>
    <row r="96" spans="1:8" x14ac:dyDescent="0.2">
      <c r="A96" s="95">
        <v>44544</v>
      </c>
      <c r="B96" s="77" t="s">
        <v>231</v>
      </c>
      <c r="C96" s="77" t="s">
        <v>282</v>
      </c>
      <c r="D96" s="78" t="s">
        <v>280</v>
      </c>
      <c r="E96" s="95">
        <v>44512</v>
      </c>
      <c r="F96" s="105">
        <v>11.98</v>
      </c>
      <c r="G96" s="105">
        <v>2</v>
      </c>
      <c r="H96" s="77" t="s">
        <v>281</v>
      </c>
    </row>
    <row r="97" spans="1:8" x14ac:dyDescent="0.2">
      <c r="A97" s="95">
        <v>44544</v>
      </c>
      <c r="B97" s="77" t="s">
        <v>231</v>
      </c>
      <c r="C97" s="77" t="s">
        <v>283</v>
      </c>
      <c r="D97" s="78">
        <v>2343206</v>
      </c>
      <c r="E97" s="95">
        <v>44526</v>
      </c>
      <c r="F97" s="105">
        <v>40.96</v>
      </c>
      <c r="G97" s="105">
        <v>6.83</v>
      </c>
      <c r="H97" s="77" t="s">
        <v>284</v>
      </c>
    </row>
    <row r="98" spans="1:8" x14ac:dyDescent="0.2">
      <c r="F98" s="119">
        <f>SUM(F67:F97)</f>
        <v>9028.34</v>
      </c>
      <c r="G98" s="119">
        <f>SUM(G67:G97)</f>
        <v>1504.9200000000003</v>
      </c>
      <c r="H98" s="63" t="s">
        <v>285</v>
      </c>
    </row>
    <row r="99" spans="1:8" x14ac:dyDescent="0.2">
      <c r="B99" s="71" t="s">
        <v>329</v>
      </c>
    </row>
    <row r="100" spans="1:8" ht="48" x14ac:dyDescent="0.2">
      <c r="A100" s="95" t="s">
        <v>269</v>
      </c>
      <c r="B100" s="66" t="s">
        <v>101</v>
      </c>
      <c r="C100" s="66" t="s">
        <v>107</v>
      </c>
      <c r="D100" s="66" t="s">
        <v>82</v>
      </c>
      <c r="E100" s="68" t="s">
        <v>111</v>
      </c>
      <c r="F100" s="67" t="s">
        <v>112</v>
      </c>
      <c r="G100" s="67" t="s">
        <v>108</v>
      </c>
      <c r="H100" s="66" t="s">
        <v>109</v>
      </c>
    </row>
    <row r="101" spans="1:8" x14ac:dyDescent="0.2">
      <c r="A101" s="95">
        <v>44574</v>
      </c>
      <c r="B101" s="77" t="s">
        <v>286</v>
      </c>
      <c r="C101" s="77" t="s">
        <v>287</v>
      </c>
      <c r="D101" s="77" t="s">
        <v>249</v>
      </c>
      <c r="E101" s="95">
        <v>44530</v>
      </c>
      <c r="F101" s="105">
        <v>20.88</v>
      </c>
      <c r="G101" s="105">
        <v>3.48</v>
      </c>
      <c r="H101" s="77">
        <v>755163721</v>
      </c>
    </row>
    <row r="102" spans="1:8" x14ac:dyDescent="0.2">
      <c r="A102" s="95">
        <v>44579</v>
      </c>
      <c r="B102" s="77" t="s">
        <v>95</v>
      </c>
      <c r="C102" s="77" t="s">
        <v>227</v>
      </c>
      <c r="D102" s="77" t="s">
        <v>290</v>
      </c>
      <c r="E102" s="95">
        <v>44568</v>
      </c>
      <c r="F102" s="105">
        <v>15.91</v>
      </c>
      <c r="G102" s="105">
        <v>3.18</v>
      </c>
      <c r="H102" s="77">
        <v>727255821</v>
      </c>
    </row>
    <row r="103" spans="1:8" x14ac:dyDescent="0.2">
      <c r="A103" s="95">
        <v>44579</v>
      </c>
      <c r="B103" s="77" t="s">
        <v>288</v>
      </c>
      <c r="C103" s="77" t="s">
        <v>289</v>
      </c>
      <c r="D103" s="77">
        <v>658</v>
      </c>
      <c r="E103" s="95">
        <v>44577</v>
      </c>
      <c r="F103" s="105">
        <v>540</v>
      </c>
      <c r="G103" s="105">
        <v>90</v>
      </c>
      <c r="H103" s="77">
        <v>375930664</v>
      </c>
    </row>
    <row r="104" spans="1:8" x14ac:dyDescent="0.2">
      <c r="A104" s="95">
        <v>44607</v>
      </c>
      <c r="B104" s="77" t="s">
        <v>291</v>
      </c>
      <c r="C104" s="77" t="s">
        <v>293</v>
      </c>
      <c r="D104" s="77">
        <v>7485</v>
      </c>
      <c r="E104" s="95">
        <v>44606</v>
      </c>
      <c r="F104" s="105">
        <v>240</v>
      </c>
      <c r="G104" s="105">
        <v>40</v>
      </c>
      <c r="H104" s="77">
        <v>582552525</v>
      </c>
    </row>
    <row r="105" spans="1:8" x14ac:dyDescent="0.2">
      <c r="A105" s="95">
        <v>44634</v>
      </c>
      <c r="B105" s="77" t="s">
        <v>113</v>
      </c>
      <c r="C105" s="77" t="s">
        <v>292</v>
      </c>
      <c r="D105" s="77">
        <v>50535</v>
      </c>
      <c r="E105" s="95">
        <v>44607</v>
      </c>
      <c r="F105" s="105">
        <v>84</v>
      </c>
      <c r="G105" s="105">
        <v>14</v>
      </c>
      <c r="H105" s="77">
        <v>899727928</v>
      </c>
    </row>
    <row r="106" spans="1:8" x14ac:dyDescent="0.2">
      <c r="F106" s="69">
        <f>SUM(F101:F105)</f>
        <v>900.79</v>
      </c>
      <c r="G106" s="69">
        <f>SUM(G101:G105)</f>
        <v>150.66</v>
      </c>
    </row>
    <row r="108" spans="1:8" x14ac:dyDescent="0.2">
      <c r="B108" s="71" t="s">
        <v>336</v>
      </c>
    </row>
    <row r="109" spans="1:8" ht="48" x14ac:dyDescent="0.2">
      <c r="A109" s="68" t="s">
        <v>111</v>
      </c>
      <c r="B109" s="66" t="s">
        <v>101</v>
      </c>
      <c r="C109" s="66" t="s">
        <v>107</v>
      </c>
      <c r="D109" s="66" t="s">
        <v>82</v>
      </c>
      <c r="E109" s="68" t="s">
        <v>111</v>
      </c>
      <c r="F109" s="67" t="s">
        <v>112</v>
      </c>
      <c r="G109" s="67" t="s">
        <v>108</v>
      </c>
      <c r="H109" s="66" t="s">
        <v>109</v>
      </c>
    </row>
    <row r="110" spans="1:8" x14ac:dyDescent="0.2">
      <c r="A110" s="130">
        <v>44651</v>
      </c>
      <c r="B110" s="77" t="s">
        <v>93</v>
      </c>
      <c r="C110" s="77" t="s">
        <v>294</v>
      </c>
      <c r="D110" s="77">
        <v>602666410</v>
      </c>
      <c r="E110" s="77"/>
      <c r="F110" s="105">
        <v>361.92</v>
      </c>
      <c r="G110" s="105">
        <v>60.32</v>
      </c>
      <c r="H110" s="77">
        <v>193548138</v>
      </c>
    </row>
    <row r="111" spans="1:8" x14ac:dyDescent="0.2">
      <c r="A111" s="130">
        <v>44651</v>
      </c>
      <c r="B111" s="77" t="s">
        <v>129</v>
      </c>
      <c r="C111" s="77" t="s">
        <v>295</v>
      </c>
      <c r="D111" s="77">
        <v>14443</v>
      </c>
      <c r="E111" s="77"/>
      <c r="F111" s="105">
        <v>828</v>
      </c>
      <c r="G111" s="105">
        <v>138</v>
      </c>
      <c r="H111" s="77">
        <v>321943962</v>
      </c>
    </row>
    <row r="112" spans="1:8" x14ac:dyDescent="0.2">
      <c r="A112" s="130">
        <v>44682</v>
      </c>
      <c r="B112" s="77" t="s">
        <v>288</v>
      </c>
      <c r="C112" s="77" t="s">
        <v>298</v>
      </c>
      <c r="D112" s="77">
        <v>712</v>
      </c>
      <c r="E112" s="77"/>
      <c r="F112" s="105">
        <v>684</v>
      </c>
      <c r="G112" s="105">
        <v>114</v>
      </c>
      <c r="H112" s="77">
        <v>375930664</v>
      </c>
    </row>
    <row r="113" spans="1:8" x14ac:dyDescent="0.2">
      <c r="A113" s="130">
        <v>44685</v>
      </c>
      <c r="B113" s="77" t="s">
        <v>95</v>
      </c>
      <c r="C113" s="77" t="s">
        <v>301</v>
      </c>
      <c r="D113" s="77" t="s">
        <v>302</v>
      </c>
      <c r="E113" s="77"/>
      <c r="F113" s="105">
        <v>6.85</v>
      </c>
      <c r="G113" s="105">
        <v>1.1399999999999999</v>
      </c>
      <c r="H113" s="77" t="s">
        <v>330</v>
      </c>
    </row>
    <row r="114" spans="1:8" x14ac:dyDescent="0.2">
      <c r="A114" s="130">
        <v>44700</v>
      </c>
      <c r="B114" s="77" t="s">
        <v>95</v>
      </c>
      <c r="C114" s="77" t="s">
        <v>303</v>
      </c>
      <c r="D114" s="77" t="s">
        <v>304</v>
      </c>
      <c r="E114" s="77"/>
      <c r="F114" s="105">
        <v>332.88</v>
      </c>
      <c r="G114" s="105">
        <v>55.48</v>
      </c>
      <c r="H114" s="77" t="s">
        <v>330</v>
      </c>
    </row>
    <row r="115" spans="1:8" x14ac:dyDescent="0.2">
      <c r="A115" s="130">
        <v>44681</v>
      </c>
      <c r="B115" s="77" t="s">
        <v>129</v>
      </c>
      <c r="C115" s="77" t="s">
        <v>305</v>
      </c>
      <c r="D115" s="77">
        <v>14493</v>
      </c>
      <c r="E115" s="77"/>
      <c r="F115" s="105">
        <v>435.08</v>
      </c>
      <c r="G115" s="105">
        <v>72.52</v>
      </c>
      <c r="H115" s="77">
        <v>321943962</v>
      </c>
    </row>
    <row r="116" spans="1:8" x14ac:dyDescent="0.2">
      <c r="A116" s="130">
        <v>44690</v>
      </c>
      <c r="B116" s="77" t="s">
        <v>306</v>
      </c>
      <c r="C116" s="77" t="s">
        <v>297</v>
      </c>
      <c r="D116" s="77" t="s">
        <v>307</v>
      </c>
      <c r="E116" s="77"/>
      <c r="F116" s="105">
        <v>45</v>
      </c>
      <c r="G116" s="105">
        <v>7.5</v>
      </c>
      <c r="H116" s="77" t="s">
        <v>331</v>
      </c>
    </row>
    <row r="117" spans="1:8" x14ac:dyDescent="0.2">
      <c r="A117" s="130">
        <v>44708</v>
      </c>
      <c r="B117" s="77" t="s">
        <v>136</v>
      </c>
      <c r="C117" s="77" t="s">
        <v>308</v>
      </c>
      <c r="D117" s="77">
        <v>7573</v>
      </c>
      <c r="E117" s="77"/>
      <c r="F117" s="105">
        <v>1785.6</v>
      </c>
      <c r="G117" s="105">
        <v>297.60000000000002</v>
      </c>
      <c r="H117" s="77">
        <v>582552525</v>
      </c>
    </row>
    <row r="118" spans="1:8" x14ac:dyDescent="0.2">
      <c r="A118" s="130">
        <v>44711</v>
      </c>
      <c r="B118" s="77" t="s">
        <v>286</v>
      </c>
      <c r="C118" s="77" t="s">
        <v>309</v>
      </c>
      <c r="D118" s="77">
        <v>407824</v>
      </c>
      <c r="E118" s="77"/>
      <c r="F118" s="105">
        <v>72.42</v>
      </c>
      <c r="G118" s="105">
        <v>12.07</v>
      </c>
      <c r="H118" s="77" t="s">
        <v>332</v>
      </c>
    </row>
    <row r="119" spans="1:8" x14ac:dyDescent="0.2">
      <c r="A119" s="130">
        <v>44721</v>
      </c>
      <c r="B119" s="77" t="s">
        <v>136</v>
      </c>
      <c r="C119" s="77" t="s">
        <v>310</v>
      </c>
      <c r="D119" s="77">
        <v>7585</v>
      </c>
      <c r="E119" s="77"/>
      <c r="F119" s="105">
        <v>6030</v>
      </c>
      <c r="G119" s="105">
        <v>1005</v>
      </c>
      <c r="H119" s="77">
        <v>582552525</v>
      </c>
    </row>
    <row r="120" spans="1:8" x14ac:dyDescent="0.2">
      <c r="A120" s="130">
        <v>44721</v>
      </c>
      <c r="B120" s="77" t="s">
        <v>136</v>
      </c>
      <c r="C120" s="77" t="s">
        <v>311</v>
      </c>
      <c r="D120" s="77">
        <v>7583</v>
      </c>
      <c r="E120" s="77"/>
      <c r="F120" s="105">
        <v>14720.4</v>
      </c>
      <c r="G120" s="105">
        <v>2453.4</v>
      </c>
      <c r="H120" s="77">
        <v>582552525</v>
      </c>
    </row>
    <row r="121" spans="1:8" x14ac:dyDescent="0.2">
      <c r="A121" s="130">
        <v>44719</v>
      </c>
      <c r="B121" s="77" t="s">
        <v>312</v>
      </c>
      <c r="C121" s="77" t="s">
        <v>313</v>
      </c>
      <c r="D121" s="77">
        <v>729</v>
      </c>
      <c r="E121" s="77"/>
      <c r="F121" s="105">
        <v>552</v>
      </c>
      <c r="G121" s="105">
        <v>92</v>
      </c>
      <c r="H121" s="77">
        <v>375930664</v>
      </c>
    </row>
    <row r="122" spans="1:8" x14ac:dyDescent="0.2">
      <c r="A122" s="130">
        <v>44718</v>
      </c>
      <c r="B122" s="77" t="s">
        <v>113</v>
      </c>
      <c r="C122" s="77" t="s">
        <v>157</v>
      </c>
      <c r="D122" s="77">
        <v>19417</v>
      </c>
      <c r="E122" s="77"/>
      <c r="F122" s="105">
        <v>198</v>
      </c>
      <c r="G122" s="105">
        <v>33</v>
      </c>
      <c r="H122" s="77" t="s">
        <v>124</v>
      </c>
    </row>
    <row r="123" spans="1:8" x14ac:dyDescent="0.2">
      <c r="A123" s="130">
        <v>44713</v>
      </c>
      <c r="B123" s="77" t="s">
        <v>314</v>
      </c>
      <c r="C123" s="77" t="s">
        <v>315</v>
      </c>
      <c r="D123" s="77" t="s">
        <v>316</v>
      </c>
      <c r="E123" s="77"/>
      <c r="F123" s="105">
        <v>110.43</v>
      </c>
      <c r="G123" s="105">
        <v>2.5</v>
      </c>
      <c r="H123" s="77" t="s">
        <v>334</v>
      </c>
    </row>
    <row r="124" spans="1:8" x14ac:dyDescent="0.2">
      <c r="A124" s="130">
        <v>44712</v>
      </c>
      <c r="B124" s="77" t="s">
        <v>314</v>
      </c>
      <c r="C124" s="77" t="s">
        <v>315</v>
      </c>
      <c r="D124" s="77" t="s">
        <v>316</v>
      </c>
      <c r="E124" s="77"/>
      <c r="G124" s="105">
        <v>3.5</v>
      </c>
      <c r="H124" s="77" t="s">
        <v>333</v>
      </c>
    </row>
    <row r="125" spans="1:8" x14ac:dyDescent="0.2">
      <c r="A125" s="130">
        <v>44709</v>
      </c>
      <c r="B125" s="77" t="s">
        <v>314</v>
      </c>
      <c r="C125" s="77" t="s">
        <v>315</v>
      </c>
      <c r="D125" s="77" t="s">
        <v>316</v>
      </c>
      <c r="E125" s="77"/>
      <c r="F125" s="105"/>
      <c r="G125" s="105">
        <v>4.53</v>
      </c>
      <c r="H125" s="77">
        <v>547512245</v>
      </c>
    </row>
    <row r="126" spans="1:8" x14ac:dyDescent="0.2">
      <c r="A126" s="130">
        <v>44715</v>
      </c>
      <c r="B126" s="77" t="s">
        <v>314</v>
      </c>
      <c r="C126" s="77" t="s">
        <v>318</v>
      </c>
      <c r="D126" s="77" t="s">
        <v>317</v>
      </c>
      <c r="E126" s="77"/>
      <c r="F126" s="105">
        <v>7.59</v>
      </c>
      <c r="G126" s="105">
        <v>1.27</v>
      </c>
      <c r="H126" s="77" t="s">
        <v>110</v>
      </c>
    </row>
    <row r="127" spans="1:8" x14ac:dyDescent="0.2">
      <c r="A127" s="130">
        <v>44712</v>
      </c>
      <c r="B127" s="77" t="s">
        <v>129</v>
      </c>
      <c r="C127" s="77" t="s">
        <v>319</v>
      </c>
      <c r="D127" s="77">
        <v>14557</v>
      </c>
      <c r="E127" s="77"/>
      <c r="F127" s="105">
        <v>870.14</v>
      </c>
      <c r="G127" s="105">
        <v>145.02000000000001</v>
      </c>
      <c r="H127" s="77">
        <v>321943962</v>
      </c>
    </row>
    <row r="128" spans="1:8" x14ac:dyDescent="0.2">
      <c r="A128" s="130">
        <v>44685</v>
      </c>
      <c r="B128" s="77" t="s">
        <v>320</v>
      </c>
      <c r="C128" s="77" t="s">
        <v>321</v>
      </c>
      <c r="D128" s="77" t="s">
        <v>322</v>
      </c>
      <c r="E128" s="77"/>
      <c r="F128" s="105">
        <v>18.079999999999998</v>
      </c>
      <c r="G128" s="105">
        <v>0.51</v>
      </c>
      <c r="H128" s="77" t="s">
        <v>335</v>
      </c>
    </row>
    <row r="129" spans="1:8" x14ac:dyDescent="0.2">
      <c r="A129" s="130">
        <v>44720</v>
      </c>
      <c r="B129" s="77" t="s">
        <v>231</v>
      </c>
      <c r="C129" s="77" t="s">
        <v>324</v>
      </c>
      <c r="D129" s="77">
        <v>193723</v>
      </c>
      <c r="E129" s="77"/>
      <c r="F129" s="105">
        <v>47.09</v>
      </c>
      <c r="G129" s="105">
        <v>7.85</v>
      </c>
      <c r="H129" s="77">
        <v>322141611</v>
      </c>
    </row>
    <row r="130" spans="1:8" x14ac:dyDescent="0.2">
      <c r="A130" s="130">
        <v>44742</v>
      </c>
      <c r="B130" s="77" t="s">
        <v>129</v>
      </c>
      <c r="C130" s="77" t="s">
        <v>323</v>
      </c>
      <c r="D130" s="77">
        <v>14620</v>
      </c>
      <c r="E130" s="77"/>
      <c r="F130" s="105">
        <v>435.92</v>
      </c>
      <c r="G130" s="105">
        <v>72.66</v>
      </c>
      <c r="H130" s="77">
        <v>321943962</v>
      </c>
    </row>
    <row r="131" spans="1:8" x14ac:dyDescent="0.2">
      <c r="A131" s="130">
        <v>44767</v>
      </c>
      <c r="B131" s="77" t="s">
        <v>312</v>
      </c>
      <c r="C131" s="77" t="s">
        <v>325</v>
      </c>
      <c r="D131" s="77">
        <v>743</v>
      </c>
      <c r="E131" s="77"/>
      <c r="F131" s="105">
        <v>24</v>
      </c>
      <c r="G131" s="105">
        <v>4</v>
      </c>
      <c r="H131" s="77">
        <v>375930664</v>
      </c>
    </row>
    <row r="132" spans="1:8" x14ac:dyDescent="0.2">
      <c r="A132" s="95">
        <v>44773</v>
      </c>
      <c r="B132" s="117" t="s">
        <v>129</v>
      </c>
      <c r="C132" s="58" t="s">
        <v>327</v>
      </c>
      <c r="D132" s="131">
        <v>14684</v>
      </c>
      <c r="E132" s="1"/>
      <c r="F132" s="105">
        <v>435.92</v>
      </c>
      <c r="G132" s="105">
        <v>72.66</v>
      </c>
      <c r="H132" s="77">
        <v>321943962</v>
      </c>
    </row>
    <row r="133" spans="1:8" x14ac:dyDescent="0.2">
      <c r="G133" s="69">
        <f>SUM(G110:G132)</f>
        <v>4656.5300000000016</v>
      </c>
    </row>
    <row r="134" spans="1:8" x14ac:dyDescent="0.2">
      <c r="A134" s="95"/>
      <c r="B134" s="133" t="s">
        <v>367</v>
      </c>
      <c r="C134" s="77"/>
      <c r="D134" s="77"/>
      <c r="E134" s="77"/>
      <c r="F134" s="105"/>
      <c r="G134" s="105"/>
      <c r="H134" s="77"/>
    </row>
    <row r="135" spans="1:8" ht="48" x14ac:dyDescent="0.2">
      <c r="A135" s="68" t="s">
        <v>111</v>
      </c>
      <c r="B135" s="66" t="s">
        <v>101</v>
      </c>
      <c r="C135" s="66" t="s">
        <v>107</v>
      </c>
      <c r="D135" s="66" t="s">
        <v>82</v>
      </c>
      <c r="E135" s="68"/>
      <c r="F135" s="67" t="s">
        <v>112</v>
      </c>
      <c r="G135" s="67" t="s">
        <v>108</v>
      </c>
      <c r="H135" s="66" t="s">
        <v>109</v>
      </c>
    </row>
    <row r="136" spans="1:8" x14ac:dyDescent="0.2">
      <c r="A136" s="95">
        <v>44774</v>
      </c>
      <c r="B136" s="77" t="s">
        <v>312</v>
      </c>
      <c r="C136" s="77" t="s">
        <v>326</v>
      </c>
      <c r="D136" s="77">
        <v>750</v>
      </c>
      <c r="E136" s="77"/>
      <c r="F136" s="105">
        <v>48</v>
      </c>
      <c r="G136" s="105">
        <v>8</v>
      </c>
      <c r="H136" s="77">
        <v>375930664</v>
      </c>
    </row>
    <row r="137" spans="1:8" x14ac:dyDescent="0.2">
      <c r="A137" s="95">
        <v>44804</v>
      </c>
      <c r="B137" s="77" t="s">
        <v>129</v>
      </c>
      <c r="C137" s="77" t="s">
        <v>327</v>
      </c>
      <c r="D137" s="77">
        <v>14752</v>
      </c>
      <c r="E137" s="77"/>
      <c r="F137" s="105">
        <v>435.08</v>
      </c>
      <c r="G137" s="105">
        <v>72.52</v>
      </c>
      <c r="H137" s="77">
        <v>321943962</v>
      </c>
    </row>
    <row r="138" spans="1:8" x14ac:dyDescent="0.2">
      <c r="A138" s="95">
        <v>44813</v>
      </c>
      <c r="B138" s="77" t="s">
        <v>328</v>
      </c>
      <c r="C138" s="77" t="s">
        <v>340</v>
      </c>
      <c r="D138" s="77">
        <v>324605762</v>
      </c>
      <c r="E138" s="77"/>
      <c r="F138" s="105">
        <v>13.99</v>
      </c>
      <c r="G138" s="105">
        <v>2.33</v>
      </c>
      <c r="H138" s="77" t="s">
        <v>333</v>
      </c>
    </row>
    <row r="139" spans="1:8" x14ac:dyDescent="0.2">
      <c r="A139" s="95">
        <v>44813</v>
      </c>
      <c r="B139" s="77" t="s">
        <v>328</v>
      </c>
      <c r="C139" s="77" t="s">
        <v>339</v>
      </c>
      <c r="D139" s="77" t="s">
        <v>341</v>
      </c>
      <c r="E139" s="77"/>
      <c r="F139" s="105">
        <v>14.49</v>
      </c>
      <c r="G139" s="105">
        <v>2.42</v>
      </c>
      <c r="H139" s="77" t="s">
        <v>368</v>
      </c>
    </row>
    <row r="140" spans="1:8" x14ac:dyDescent="0.2">
      <c r="A140" s="95">
        <v>44820</v>
      </c>
      <c r="B140" s="77" t="s">
        <v>33</v>
      </c>
      <c r="C140" s="77" t="s">
        <v>337</v>
      </c>
      <c r="D140" s="77" t="s">
        <v>338</v>
      </c>
      <c r="E140" s="77"/>
      <c r="F140" s="105">
        <v>141.80000000000001</v>
      </c>
      <c r="G140" s="105">
        <v>0.8</v>
      </c>
      <c r="H140" s="77">
        <v>891752783</v>
      </c>
    </row>
    <row r="141" spans="1:8" x14ac:dyDescent="0.2">
      <c r="A141" s="95">
        <v>44820</v>
      </c>
      <c r="B141" s="77" t="s">
        <v>255</v>
      </c>
      <c r="C141" s="77" t="s">
        <v>344</v>
      </c>
      <c r="D141" s="77" t="s">
        <v>345</v>
      </c>
      <c r="E141" s="77"/>
      <c r="F141" s="105">
        <v>169.99</v>
      </c>
      <c r="G141" s="105">
        <v>28.33</v>
      </c>
      <c r="H141" s="77">
        <v>732249444</v>
      </c>
    </row>
    <row r="142" spans="1:8" x14ac:dyDescent="0.2">
      <c r="A142" s="95">
        <v>44824</v>
      </c>
      <c r="B142" s="77" t="s">
        <v>136</v>
      </c>
      <c r="C142" s="77" t="s">
        <v>373</v>
      </c>
      <c r="D142" s="77">
        <v>7720</v>
      </c>
      <c r="E142" s="77"/>
      <c r="F142" s="105">
        <v>360</v>
      </c>
      <c r="G142" s="105">
        <v>60</v>
      </c>
      <c r="H142" s="77">
        <v>582552525</v>
      </c>
    </row>
    <row r="143" spans="1:8" x14ac:dyDescent="0.2">
      <c r="A143" s="95">
        <v>44826</v>
      </c>
      <c r="B143" s="77" t="s">
        <v>95</v>
      </c>
      <c r="C143" s="77" t="s">
        <v>346</v>
      </c>
      <c r="D143" s="77">
        <v>365</v>
      </c>
      <c r="E143" s="77"/>
      <c r="F143" s="105">
        <v>111.3</v>
      </c>
      <c r="G143" s="105">
        <v>13.35</v>
      </c>
      <c r="H143" s="77">
        <v>660454836</v>
      </c>
    </row>
    <row r="144" spans="1:8" x14ac:dyDescent="0.2">
      <c r="A144" s="95">
        <v>44831</v>
      </c>
      <c r="B144" s="77" t="s">
        <v>171</v>
      </c>
      <c r="C144" s="77" t="s">
        <v>342</v>
      </c>
      <c r="D144" s="77">
        <v>313649</v>
      </c>
      <c r="E144" s="77"/>
      <c r="F144" s="105">
        <v>240</v>
      </c>
      <c r="G144" s="105">
        <v>40</v>
      </c>
      <c r="H144" s="77">
        <v>120431530</v>
      </c>
    </row>
    <row r="145" spans="1:8" x14ac:dyDescent="0.2">
      <c r="A145" s="95">
        <v>44834</v>
      </c>
      <c r="B145" s="77" t="s">
        <v>129</v>
      </c>
      <c r="C145" s="77" t="s">
        <v>343</v>
      </c>
      <c r="D145" s="77">
        <v>14816</v>
      </c>
      <c r="E145" s="77"/>
      <c r="F145" s="105">
        <v>435.08</v>
      </c>
      <c r="G145" s="105">
        <v>72.52</v>
      </c>
      <c r="H145" s="77">
        <v>321943962</v>
      </c>
    </row>
    <row r="146" spans="1:8" x14ac:dyDescent="0.2">
      <c r="A146" s="95">
        <v>44860</v>
      </c>
      <c r="B146" s="77" t="s">
        <v>97</v>
      </c>
      <c r="C146" s="77" t="s">
        <v>347</v>
      </c>
      <c r="D146" s="77">
        <v>31567</v>
      </c>
      <c r="E146" s="77"/>
      <c r="F146" s="105">
        <v>60</v>
      </c>
      <c r="G146" s="105">
        <v>10</v>
      </c>
      <c r="H146" s="77">
        <v>744541532</v>
      </c>
    </row>
    <row r="147" spans="1:8" x14ac:dyDescent="0.2">
      <c r="A147" s="95">
        <v>44875</v>
      </c>
      <c r="B147" s="77" t="s">
        <v>95</v>
      </c>
      <c r="C147" s="77" t="s">
        <v>159</v>
      </c>
      <c r="D147" s="77" t="s">
        <v>249</v>
      </c>
      <c r="E147" s="77"/>
      <c r="F147" s="105">
        <v>95.88</v>
      </c>
      <c r="G147" s="105">
        <v>15.98</v>
      </c>
      <c r="H147" s="77" t="s">
        <v>187</v>
      </c>
    </row>
    <row r="148" spans="1:8" x14ac:dyDescent="0.2">
      <c r="A148" s="95">
        <v>44887</v>
      </c>
      <c r="B148" s="77" t="s">
        <v>349</v>
      </c>
      <c r="C148" s="77" t="s">
        <v>348</v>
      </c>
      <c r="D148" s="77">
        <v>15428</v>
      </c>
      <c r="E148" s="77"/>
      <c r="F148" s="105">
        <v>314.39999999999998</v>
      </c>
      <c r="G148" s="105">
        <v>52.4</v>
      </c>
      <c r="H148" s="77">
        <v>992229981</v>
      </c>
    </row>
    <row r="149" spans="1:8" x14ac:dyDescent="0.2">
      <c r="A149" s="95">
        <v>44890</v>
      </c>
      <c r="B149" s="77" t="s">
        <v>95</v>
      </c>
      <c r="C149" s="77" t="s">
        <v>352</v>
      </c>
      <c r="D149" s="77" t="s">
        <v>353</v>
      </c>
      <c r="E149" s="77"/>
      <c r="F149" s="105">
        <v>8.99</v>
      </c>
      <c r="G149" s="105">
        <v>1.5</v>
      </c>
      <c r="H149" s="77" t="s">
        <v>110</v>
      </c>
    </row>
    <row r="150" spans="1:8" x14ac:dyDescent="0.2">
      <c r="A150" s="95">
        <v>44895</v>
      </c>
      <c r="B150" s="77" t="s">
        <v>350</v>
      </c>
      <c r="C150" s="77" t="s">
        <v>264</v>
      </c>
      <c r="D150" s="77">
        <v>31564</v>
      </c>
      <c r="E150" s="77"/>
      <c r="F150" s="105">
        <v>576</v>
      </c>
      <c r="G150" s="105">
        <v>96</v>
      </c>
      <c r="H150" s="77">
        <v>744541532</v>
      </c>
    </row>
    <row r="151" spans="1:8" x14ac:dyDescent="0.2">
      <c r="A151" s="95">
        <v>44895</v>
      </c>
      <c r="B151" s="77" t="s">
        <v>312</v>
      </c>
      <c r="C151" s="77" t="s">
        <v>351</v>
      </c>
      <c r="D151" s="77">
        <v>792</v>
      </c>
      <c r="E151" s="77"/>
      <c r="F151" s="105">
        <v>1560</v>
      </c>
      <c r="G151" s="105">
        <v>260</v>
      </c>
      <c r="H151" s="77">
        <v>375930664</v>
      </c>
    </row>
    <row r="152" spans="1:8" x14ac:dyDescent="0.2">
      <c r="A152" s="95">
        <v>44895</v>
      </c>
      <c r="B152" s="77" t="s">
        <v>129</v>
      </c>
      <c r="C152" s="77" t="s">
        <v>361</v>
      </c>
      <c r="D152" s="77">
        <v>14947</v>
      </c>
      <c r="E152" s="77"/>
      <c r="F152" s="105">
        <v>435.08</v>
      </c>
      <c r="G152" s="105">
        <v>72.52</v>
      </c>
      <c r="H152" s="77">
        <v>321943962</v>
      </c>
    </row>
    <row r="153" spans="1:8" x14ac:dyDescent="0.2">
      <c r="A153" s="95">
        <v>44902</v>
      </c>
      <c r="B153" s="77" t="s">
        <v>261</v>
      </c>
      <c r="C153" s="77" t="s">
        <v>262</v>
      </c>
      <c r="D153" s="77" t="s">
        <v>354</v>
      </c>
      <c r="E153" s="77"/>
      <c r="F153" s="105">
        <v>150</v>
      </c>
      <c r="G153" s="105">
        <v>25</v>
      </c>
      <c r="H153" s="77">
        <v>376832713</v>
      </c>
    </row>
    <row r="154" spans="1:8" x14ac:dyDescent="0.2">
      <c r="A154" s="95">
        <v>44906</v>
      </c>
      <c r="B154" s="77" t="s">
        <v>231</v>
      </c>
      <c r="C154" s="77" t="s">
        <v>355</v>
      </c>
      <c r="D154" s="77">
        <v>2840910</v>
      </c>
      <c r="E154" s="77"/>
      <c r="F154" s="105">
        <v>42.99</v>
      </c>
      <c r="G154" s="105">
        <v>7.16</v>
      </c>
      <c r="H154" s="77" t="s">
        <v>284</v>
      </c>
    </row>
    <row r="155" spans="1:8" x14ac:dyDescent="0.2">
      <c r="A155" s="95">
        <v>44930</v>
      </c>
      <c r="B155" s="77" t="s">
        <v>113</v>
      </c>
      <c r="C155" s="77" t="s">
        <v>359</v>
      </c>
      <c r="D155" s="77">
        <v>50977</v>
      </c>
      <c r="E155" s="77"/>
      <c r="F155" s="105">
        <v>102</v>
      </c>
      <c r="G155" s="105">
        <v>17</v>
      </c>
      <c r="H155" s="77">
        <v>899727928</v>
      </c>
    </row>
    <row r="156" spans="1:8" x14ac:dyDescent="0.2">
      <c r="A156" s="95">
        <v>44963</v>
      </c>
      <c r="B156" s="77" t="s">
        <v>136</v>
      </c>
      <c r="C156" s="77" t="s">
        <v>360</v>
      </c>
      <c r="D156" s="77">
        <v>7868</v>
      </c>
      <c r="E156" s="77"/>
      <c r="F156" s="105">
        <v>1260</v>
      </c>
      <c r="G156" s="105">
        <v>210</v>
      </c>
      <c r="H156" s="77">
        <v>582552525</v>
      </c>
    </row>
    <row r="157" spans="1:8" x14ac:dyDescent="0.2">
      <c r="A157" s="95">
        <v>44966</v>
      </c>
      <c r="B157" s="77" t="s">
        <v>356</v>
      </c>
      <c r="C157" s="77" t="s">
        <v>357</v>
      </c>
      <c r="D157" s="77" t="s">
        <v>358</v>
      </c>
      <c r="E157" s="77"/>
      <c r="F157" s="105">
        <v>286.2</v>
      </c>
      <c r="G157" s="105">
        <v>47.7</v>
      </c>
      <c r="H157" s="77">
        <v>831579317</v>
      </c>
    </row>
    <row r="158" spans="1:8" x14ac:dyDescent="0.2">
      <c r="A158" s="95">
        <v>44981</v>
      </c>
      <c r="B158" s="77" t="s">
        <v>113</v>
      </c>
      <c r="C158" s="77" t="s">
        <v>362</v>
      </c>
      <c r="D158" s="77">
        <v>51008</v>
      </c>
      <c r="E158" s="77"/>
      <c r="F158" s="105">
        <v>60</v>
      </c>
      <c r="G158" s="105">
        <v>10</v>
      </c>
      <c r="H158" s="77">
        <v>899727928</v>
      </c>
    </row>
    <row r="159" spans="1:8" x14ac:dyDescent="0.2">
      <c r="A159" s="95">
        <v>44985</v>
      </c>
      <c r="B159" s="77" t="s">
        <v>95</v>
      </c>
      <c r="C159" s="77" t="s">
        <v>363</v>
      </c>
      <c r="D159" s="77" t="s">
        <v>364</v>
      </c>
      <c r="E159" s="77"/>
      <c r="F159" s="105">
        <v>55.04</v>
      </c>
      <c r="G159" s="105">
        <v>9.17</v>
      </c>
      <c r="H159" s="77">
        <v>385529654</v>
      </c>
    </row>
    <row r="160" spans="1:8" x14ac:dyDescent="0.2">
      <c r="A160" s="95">
        <v>44985</v>
      </c>
      <c r="B160" s="77" t="s">
        <v>129</v>
      </c>
      <c r="C160" s="77" t="s">
        <v>365</v>
      </c>
      <c r="D160" s="77">
        <v>15086</v>
      </c>
      <c r="E160" s="77"/>
      <c r="F160" s="105">
        <v>435.08</v>
      </c>
      <c r="G160" s="105">
        <v>75.52</v>
      </c>
      <c r="H160" s="77">
        <v>321943962</v>
      </c>
    </row>
    <row r="161" spans="1:8" x14ac:dyDescent="0.2">
      <c r="A161" s="95">
        <v>45000</v>
      </c>
      <c r="B161" s="77" t="s">
        <v>95</v>
      </c>
      <c r="C161" s="77" t="s">
        <v>366</v>
      </c>
      <c r="D161" s="77">
        <v>6122889059</v>
      </c>
      <c r="E161" s="77"/>
      <c r="F161" s="105">
        <v>78.44</v>
      </c>
      <c r="G161" s="105">
        <v>13.08</v>
      </c>
      <c r="H161" s="77" t="s">
        <v>369</v>
      </c>
    </row>
    <row r="162" spans="1:8" x14ac:dyDescent="0.2">
      <c r="A162" s="95">
        <v>44989</v>
      </c>
      <c r="B162" s="77" t="s">
        <v>231</v>
      </c>
      <c r="C162" s="77" t="s">
        <v>370</v>
      </c>
      <c r="D162" s="58" t="s">
        <v>249</v>
      </c>
      <c r="E162" s="77"/>
      <c r="F162" s="105">
        <v>19.5</v>
      </c>
      <c r="G162" s="105">
        <v>3.25</v>
      </c>
      <c r="H162" s="77">
        <v>233112755</v>
      </c>
    </row>
    <row r="163" spans="1:8" x14ac:dyDescent="0.2">
      <c r="A163" s="95">
        <v>45003</v>
      </c>
      <c r="B163" s="77" t="s">
        <v>231</v>
      </c>
      <c r="C163" s="77" t="s">
        <v>371</v>
      </c>
      <c r="D163" s="58">
        <v>3000061699</v>
      </c>
      <c r="E163" s="77"/>
      <c r="F163" s="105">
        <v>72.09</v>
      </c>
      <c r="G163" s="105">
        <v>12.02</v>
      </c>
      <c r="H163" s="77">
        <v>584635017</v>
      </c>
    </row>
    <row r="164" spans="1:8" x14ac:dyDescent="0.2">
      <c r="A164" s="95">
        <v>44996</v>
      </c>
      <c r="B164" s="77" t="s">
        <v>231</v>
      </c>
      <c r="C164" s="77" t="s">
        <v>372</v>
      </c>
      <c r="D164" s="58" t="s">
        <v>249</v>
      </c>
      <c r="E164" s="77"/>
      <c r="F164" s="105">
        <v>87</v>
      </c>
      <c r="G164" s="105">
        <v>14.5</v>
      </c>
      <c r="H164" s="77">
        <v>233112755</v>
      </c>
    </row>
    <row r="165" spans="1:8" x14ac:dyDescent="0.2">
      <c r="A165" s="95">
        <v>45016</v>
      </c>
      <c r="B165" s="77" t="s">
        <v>93</v>
      </c>
      <c r="C165" s="77" t="s">
        <v>374</v>
      </c>
      <c r="D165" s="77" t="s">
        <v>375</v>
      </c>
      <c r="E165" s="77"/>
      <c r="F165" s="105">
        <v>389.37</v>
      </c>
      <c r="G165" s="105">
        <v>64.89</v>
      </c>
      <c r="H165" s="77">
        <v>193548138</v>
      </c>
    </row>
    <row r="166" spans="1:8" x14ac:dyDescent="0.2">
      <c r="A166" s="95"/>
      <c r="B166" s="77"/>
      <c r="C166" s="77"/>
      <c r="D166" s="77"/>
      <c r="E166" s="77"/>
      <c r="F166" s="105"/>
      <c r="G166" s="105"/>
      <c r="H166" s="77"/>
    </row>
    <row r="167" spans="1:8" x14ac:dyDescent="0.2">
      <c r="A167" s="95"/>
      <c r="B167" s="77"/>
      <c r="C167" s="77"/>
      <c r="D167" s="77"/>
      <c r="E167" s="77"/>
      <c r="F167" s="105"/>
      <c r="G167" s="105"/>
      <c r="H167" s="77"/>
    </row>
    <row r="168" spans="1:8" x14ac:dyDescent="0.2">
      <c r="A168" s="95"/>
      <c r="B168" s="77"/>
      <c r="C168" s="77"/>
      <c r="D168" s="77"/>
      <c r="E168" s="77"/>
      <c r="F168" s="105"/>
      <c r="G168" s="105">
        <f>SUM(G136:G167)</f>
        <v>1317.96</v>
      </c>
      <c r="H168" s="77"/>
    </row>
    <row r="170" spans="1:8" x14ac:dyDescent="0.2">
      <c r="A170" s="95"/>
      <c r="B170" s="133" t="s">
        <v>455</v>
      </c>
      <c r="C170" s="77"/>
      <c r="D170" s="77"/>
      <c r="E170" s="77"/>
      <c r="F170" s="105"/>
      <c r="G170" s="105"/>
      <c r="H170" s="77"/>
    </row>
    <row r="171" spans="1:8" ht="48" x14ac:dyDescent="0.2">
      <c r="A171" s="68" t="s">
        <v>111</v>
      </c>
      <c r="B171" s="66" t="s">
        <v>101</v>
      </c>
      <c r="C171" s="66" t="s">
        <v>107</v>
      </c>
      <c r="D171" s="66" t="s">
        <v>82</v>
      </c>
      <c r="E171" s="68" t="s">
        <v>111</v>
      </c>
      <c r="F171" s="67" t="s">
        <v>112</v>
      </c>
      <c r="G171" s="67" t="s">
        <v>108</v>
      </c>
      <c r="H171" s="66" t="s">
        <v>109</v>
      </c>
    </row>
    <row r="172" spans="1:8" x14ac:dyDescent="0.2">
      <c r="A172" s="95">
        <v>45030</v>
      </c>
      <c r="B172" s="77" t="s">
        <v>95</v>
      </c>
      <c r="C172" s="77" t="s">
        <v>388</v>
      </c>
      <c r="D172" s="77" t="s">
        <v>389</v>
      </c>
      <c r="E172" s="77"/>
      <c r="F172" s="105">
        <v>704.95</v>
      </c>
      <c r="G172" s="105">
        <v>117.49</v>
      </c>
      <c r="H172" s="77">
        <v>834366812</v>
      </c>
    </row>
    <row r="173" spans="1:8" x14ac:dyDescent="0.2">
      <c r="A173" s="95">
        <v>45033</v>
      </c>
      <c r="B173" s="77" t="s">
        <v>387</v>
      </c>
      <c r="C173" s="77" t="s">
        <v>390</v>
      </c>
      <c r="D173" s="77">
        <v>213208</v>
      </c>
      <c r="E173" s="77"/>
      <c r="F173" s="105">
        <v>720</v>
      </c>
      <c r="G173" s="105">
        <v>120</v>
      </c>
      <c r="H173" s="77" t="s">
        <v>451</v>
      </c>
    </row>
    <row r="174" spans="1:8" x14ac:dyDescent="0.2">
      <c r="A174" s="95">
        <v>45034</v>
      </c>
      <c r="B174" s="77" t="s">
        <v>387</v>
      </c>
      <c r="C174" s="77" t="s">
        <v>391</v>
      </c>
      <c r="D174" s="77">
        <v>213213</v>
      </c>
      <c r="E174" s="77"/>
      <c r="F174" s="105">
        <v>94.92</v>
      </c>
      <c r="G174" s="105">
        <v>15.82</v>
      </c>
      <c r="H174" s="77" t="s">
        <v>451</v>
      </c>
    </row>
    <row r="175" spans="1:8" x14ac:dyDescent="0.2">
      <c r="A175" s="95">
        <v>45034</v>
      </c>
      <c r="B175" s="77" t="s">
        <v>286</v>
      </c>
      <c r="C175" s="77" t="s">
        <v>397</v>
      </c>
      <c r="D175" s="77">
        <v>151216</v>
      </c>
      <c r="E175" s="77"/>
      <c r="F175" s="105">
        <v>103.38</v>
      </c>
      <c r="G175" s="105">
        <v>17.23</v>
      </c>
      <c r="H175" s="77" t="s">
        <v>450</v>
      </c>
    </row>
    <row r="176" spans="1:8" x14ac:dyDescent="0.2">
      <c r="A176" s="95">
        <v>45035</v>
      </c>
      <c r="B176" s="77" t="s">
        <v>113</v>
      </c>
      <c r="C176" s="77" t="s">
        <v>392</v>
      </c>
      <c r="D176" s="77">
        <v>51033</v>
      </c>
      <c r="E176" s="77"/>
      <c r="F176" s="105">
        <v>96</v>
      </c>
      <c r="G176" s="105">
        <v>16</v>
      </c>
      <c r="H176" s="77">
        <v>899727928</v>
      </c>
    </row>
    <row r="177" spans="1:8" x14ac:dyDescent="0.2">
      <c r="A177" s="95">
        <v>45043</v>
      </c>
      <c r="B177" s="77" t="s">
        <v>113</v>
      </c>
      <c r="C177" s="77" t="s">
        <v>157</v>
      </c>
      <c r="D177" s="77">
        <v>21093</v>
      </c>
      <c r="E177" s="77"/>
      <c r="F177" s="105">
        <v>252</v>
      </c>
      <c r="G177" s="105">
        <v>42</v>
      </c>
      <c r="H177" s="77">
        <v>899727928</v>
      </c>
    </row>
    <row r="178" spans="1:8" x14ac:dyDescent="0.2">
      <c r="A178" s="95">
        <v>45046</v>
      </c>
      <c r="B178" s="77" t="s">
        <v>395</v>
      </c>
      <c r="C178" s="77" t="s">
        <v>396</v>
      </c>
      <c r="D178" s="77">
        <v>15194</v>
      </c>
      <c r="E178" s="77"/>
      <c r="F178" s="105">
        <v>907.2</v>
      </c>
      <c r="G178" s="105">
        <v>151.19999999999999</v>
      </c>
      <c r="H178" s="77">
        <v>321943962</v>
      </c>
    </row>
    <row r="179" spans="1:8" x14ac:dyDescent="0.2">
      <c r="A179" s="95">
        <v>45055</v>
      </c>
      <c r="B179" s="77" t="s">
        <v>393</v>
      </c>
      <c r="C179" s="77" t="s">
        <v>394</v>
      </c>
      <c r="D179" s="77">
        <v>26025982</v>
      </c>
      <c r="E179" s="77"/>
      <c r="F179" s="105">
        <v>45</v>
      </c>
      <c r="G179" s="105">
        <v>7.5</v>
      </c>
      <c r="H179" s="77" t="s">
        <v>331</v>
      </c>
    </row>
    <row r="180" spans="1:8" x14ac:dyDescent="0.2">
      <c r="A180" s="95">
        <v>45068</v>
      </c>
      <c r="B180" s="77" t="s">
        <v>95</v>
      </c>
      <c r="C180" s="77" t="s">
        <v>398</v>
      </c>
      <c r="D180" s="77">
        <v>1267564</v>
      </c>
      <c r="E180" s="77"/>
      <c r="F180" s="105">
        <v>143.88</v>
      </c>
      <c r="G180" s="105">
        <v>23.98</v>
      </c>
      <c r="H180" s="77">
        <v>887750270</v>
      </c>
    </row>
    <row r="181" spans="1:8" x14ac:dyDescent="0.2">
      <c r="A181" s="95">
        <v>45069</v>
      </c>
      <c r="B181" s="77" t="s">
        <v>113</v>
      </c>
      <c r="C181" s="77" t="s">
        <v>406</v>
      </c>
      <c r="D181" s="77">
        <v>51094</v>
      </c>
      <c r="E181" s="77"/>
      <c r="F181" s="105">
        <v>54</v>
      </c>
      <c r="G181" s="105">
        <v>9</v>
      </c>
      <c r="H181" s="77">
        <v>899727928</v>
      </c>
    </row>
    <row r="182" spans="1:8" x14ac:dyDescent="0.2">
      <c r="A182" s="95">
        <v>45077</v>
      </c>
      <c r="B182" s="77" t="s">
        <v>399</v>
      </c>
      <c r="C182" s="77" t="s">
        <v>400</v>
      </c>
      <c r="D182" s="77" t="s">
        <v>249</v>
      </c>
      <c r="E182" s="77"/>
      <c r="F182" s="105">
        <v>64.900000000000006</v>
      </c>
      <c r="G182" s="105">
        <v>11.65</v>
      </c>
      <c r="H182" s="77" t="s">
        <v>332</v>
      </c>
    </row>
    <row r="183" spans="1:8" x14ac:dyDescent="0.2">
      <c r="A183" s="95">
        <v>45077</v>
      </c>
      <c r="B183" s="77" t="s">
        <v>395</v>
      </c>
      <c r="C183" s="77" t="s">
        <v>401</v>
      </c>
      <c r="D183" s="77">
        <v>15259</v>
      </c>
      <c r="E183" s="77"/>
      <c r="F183" s="105">
        <v>907.2</v>
      </c>
      <c r="G183" s="105">
        <v>151.19999999999999</v>
      </c>
      <c r="H183" s="77">
        <v>321943962</v>
      </c>
    </row>
    <row r="184" spans="1:8" x14ac:dyDescent="0.2">
      <c r="A184" s="95">
        <v>45096</v>
      </c>
      <c r="B184" s="77" t="s">
        <v>95</v>
      </c>
      <c r="C184" s="77" t="s">
        <v>403</v>
      </c>
      <c r="D184" s="77" t="s">
        <v>404</v>
      </c>
      <c r="E184" s="77"/>
      <c r="F184" s="105">
        <v>75.989999999999995</v>
      </c>
      <c r="G184" s="105">
        <v>12.67</v>
      </c>
      <c r="H184" s="77" t="s">
        <v>449</v>
      </c>
    </row>
    <row r="185" spans="1:8" x14ac:dyDescent="0.2">
      <c r="A185" s="95">
        <v>45098</v>
      </c>
      <c r="B185" s="77" t="s">
        <v>95</v>
      </c>
      <c r="C185" s="77" t="s">
        <v>402</v>
      </c>
      <c r="D185" s="77">
        <v>6896</v>
      </c>
      <c r="E185" s="77"/>
      <c r="F185" s="105">
        <v>720</v>
      </c>
      <c r="G185" s="105">
        <v>120</v>
      </c>
      <c r="H185" s="77">
        <v>747363902</v>
      </c>
    </row>
    <row r="186" spans="1:8" x14ac:dyDescent="0.2">
      <c r="A186" s="95">
        <v>45107</v>
      </c>
      <c r="B186" s="77" t="s">
        <v>395</v>
      </c>
      <c r="C186" s="77" t="s">
        <v>405</v>
      </c>
      <c r="D186" s="77">
        <v>15310</v>
      </c>
      <c r="E186" s="77"/>
      <c r="F186" s="105">
        <v>453.6</v>
      </c>
      <c r="G186" s="105">
        <v>75.599999999999994</v>
      </c>
      <c r="H186" s="77">
        <v>321943962</v>
      </c>
    </row>
    <row r="187" spans="1:8" x14ac:dyDescent="0.2">
      <c r="A187" s="95">
        <v>45138</v>
      </c>
      <c r="B187" s="77" t="s">
        <v>395</v>
      </c>
      <c r="C187" s="77" t="s">
        <v>407</v>
      </c>
      <c r="D187" s="77">
        <v>15376</v>
      </c>
      <c r="E187" s="77"/>
      <c r="F187" s="105">
        <v>453.6</v>
      </c>
      <c r="G187" s="105">
        <v>75.599999999999994</v>
      </c>
      <c r="H187" s="77">
        <v>321943962</v>
      </c>
    </row>
    <row r="188" spans="1:8" x14ac:dyDescent="0.2">
      <c r="A188" s="95">
        <v>45168</v>
      </c>
      <c r="B188" s="77" t="s">
        <v>171</v>
      </c>
      <c r="C188" s="77" t="s">
        <v>410</v>
      </c>
      <c r="D188" s="77">
        <v>319548</v>
      </c>
      <c r="E188" s="77"/>
      <c r="F188" s="105">
        <v>378</v>
      </c>
      <c r="G188" s="105">
        <v>63</v>
      </c>
      <c r="H188" s="77">
        <v>120431530</v>
      </c>
    </row>
    <row r="189" spans="1:8" x14ac:dyDescent="0.2">
      <c r="A189" s="95">
        <v>45169</v>
      </c>
      <c r="B189" s="77" t="s">
        <v>395</v>
      </c>
      <c r="C189" s="77" t="s">
        <v>412</v>
      </c>
      <c r="D189" s="77">
        <v>15443</v>
      </c>
      <c r="E189" s="77"/>
      <c r="F189" s="105">
        <v>453.6</v>
      </c>
      <c r="G189" s="105">
        <v>75.599999999999994</v>
      </c>
      <c r="H189" s="77">
        <v>321943962</v>
      </c>
    </row>
    <row r="190" spans="1:8" x14ac:dyDescent="0.2">
      <c r="A190" s="95">
        <v>45180</v>
      </c>
      <c r="B190" s="77" t="s">
        <v>95</v>
      </c>
      <c r="C190" s="77" t="s">
        <v>398</v>
      </c>
      <c r="D190" s="77" t="s">
        <v>411</v>
      </c>
      <c r="E190" s="77"/>
      <c r="F190" s="105">
        <v>71.94</v>
      </c>
      <c r="G190" s="105">
        <v>11.99</v>
      </c>
      <c r="H190" s="77">
        <v>887750270</v>
      </c>
    </row>
    <row r="191" spans="1:8" x14ac:dyDescent="0.2">
      <c r="A191" s="95">
        <v>45181</v>
      </c>
      <c r="B191" s="77" t="s">
        <v>413</v>
      </c>
      <c r="C191" s="77" t="s">
        <v>431</v>
      </c>
      <c r="D191" s="77" t="s">
        <v>322</v>
      </c>
      <c r="E191" s="77"/>
      <c r="F191" s="105">
        <v>80.83</v>
      </c>
      <c r="G191" s="105">
        <v>2</v>
      </c>
      <c r="H191" s="77" t="s">
        <v>447</v>
      </c>
    </row>
    <row r="192" spans="1:8" x14ac:dyDescent="0.2">
      <c r="A192" s="95">
        <v>45183</v>
      </c>
      <c r="B192" s="77" t="s">
        <v>413</v>
      </c>
      <c r="C192" s="77" t="s">
        <v>430</v>
      </c>
      <c r="D192" s="77" t="s">
        <v>322</v>
      </c>
      <c r="E192" s="77"/>
      <c r="F192" s="105">
        <v>8.99</v>
      </c>
      <c r="G192" s="105">
        <v>1.5</v>
      </c>
      <c r="H192" s="77" t="s">
        <v>333</v>
      </c>
    </row>
    <row r="193" spans="1:8" x14ac:dyDescent="0.2">
      <c r="A193" s="95">
        <v>45183</v>
      </c>
      <c r="B193" s="77" t="s">
        <v>413</v>
      </c>
      <c r="C193" s="77" t="s">
        <v>430</v>
      </c>
      <c r="D193" s="77" t="s">
        <v>322</v>
      </c>
      <c r="E193" s="77"/>
      <c r="F193" s="105">
        <v>9.99</v>
      </c>
      <c r="G193" s="105">
        <v>1.67</v>
      </c>
      <c r="H193" s="77" t="s">
        <v>333</v>
      </c>
    </row>
    <row r="194" spans="1:8" x14ac:dyDescent="0.2">
      <c r="A194" s="95">
        <v>45183</v>
      </c>
      <c r="B194" s="77" t="s">
        <v>413</v>
      </c>
      <c r="C194" s="77" t="s">
        <v>430</v>
      </c>
      <c r="D194" s="77" t="s">
        <v>322</v>
      </c>
      <c r="E194" s="77"/>
      <c r="F194" s="105">
        <v>5.44</v>
      </c>
      <c r="G194" s="105">
        <v>0.91</v>
      </c>
      <c r="H194" s="77" t="s">
        <v>448</v>
      </c>
    </row>
    <row r="195" spans="1:8" x14ac:dyDescent="0.2">
      <c r="A195" s="95">
        <v>45187</v>
      </c>
      <c r="B195" s="77" t="s">
        <v>136</v>
      </c>
      <c r="C195" s="77" t="s">
        <v>408</v>
      </c>
      <c r="D195" s="77">
        <v>8181</v>
      </c>
      <c r="E195" s="77"/>
      <c r="F195" s="105">
        <v>384</v>
      </c>
      <c r="G195" s="105">
        <v>64</v>
      </c>
      <c r="H195" s="77">
        <v>582552525</v>
      </c>
    </row>
    <row r="196" spans="1:8" x14ac:dyDescent="0.2">
      <c r="A196" s="95">
        <v>45199</v>
      </c>
      <c r="B196" s="77" t="s">
        <v>395</v>
      </c>
      <c r="C196" s="77" t="s">
        <v>428</v>
      </c>
      <c r="D196" s="77">
        <v>15507</v>
      </c>
      <c r="E196" s="77"/>
      <c r="F196" s="105">
        <v>597.6</v>
      </c>
      <c r="G196" s="105">
        <v>99.6</v>
      </c>
      <c r="H196" s="77">
        <v>321943962</v>
      </c>
    </row>
    <row r="197" spans="1:8" x14ac:dyDescent="0.2">
      <c r="A197" s="95">
        <v>45222</v>
      </c>
      <c r="B197" s="77" t="s">
        <v>380</v>
      </c>
      <c r="C197" s="77" t="s">
        <v>415</v>
      </c>
      <c r="D197" s="77" t="s">
        <v>322</v>
      </c>
      <c r="E197" s="77"/>
      <c r="F197" s="105">
        <v>103.57</v>
      </c>
      <c r="G197" s="105">
        <v>17.260000000000002</v>
      </c>
      <c r="H197" s="77" t="s">
        <v>332</v>
      </c>
    </row>
    <row r="198" spans="1:8" x14ac:dyDescent="0.2">
      <c r="A198" s="95">
        <v>45226</v>
      </c>
      <c r="B198" s="77" t="s">
        <v>312</v>
      </c>
      <c r="C198" s="77" t="s">
        <v>416</v>
      </c>
      <c r="D198" s="77">
        <v>897</v>
      </c>
      <c r="E198" s="77"/>
      <c r="F198" s="105">
        <v>1020</v>
      </c>
      <c r="G198" s="105">
        <v>170</v>
      </c>
      <c r="H198" s="77">
        <v>375930664</v>
      </c>
    </row>
    <row r="199" spans="1:8" x14ac:dyDescent="0.2">
      <c r="A199" s="95">
        <v>45226</v>
      </c>
      <c r="B199" s="77" t="s">
        <v>417</v>
      </c>
      <c r="C199" s="77" t="s">
        <v>418</v>
      </c>
      <c r="D199" s="77">
        <v>32286</v>
      </c>
      <c r="E199" s="77"/>
      <c r="F199" s="105">
        <v>210</v>
      </c>
      <c r="G199" s="105">
        <v>35</v>
      </c>
      <c r="H199" s="77" t="s">
        <v>199</v>
      </c>
    </row>
    <row r="200" spans="1:8" x14ac:dyDescent="0.2">
      <c r="A200" s="95">
        <v>45230</v>
      </c>
      <c r="B200" s="77" t="s">
        <v>395</v>
      </c>
      <c r="C200" s="77" t="s">
        <v>429</v>
      </c>
      <c r="D200" s="77">
        <v>15597</v>
      </c>
      <c r="E200" s="77"/>
      <c r="F200" s="105">
        <v>453.6</v>
      </c>
      <c r="G200" s="105">
        <v>75.599999999999994</v>
      </c>
      <c r="H200" s="77">
        <v>321943962</v>
      </c>
    </row>
    <row r="201" spans="1:8" x14ac:dyDescent="0.2">
      <c r="A201" s="95">
        <v>45231</v>
      </c>
      <c r="B201" s="77" t="s">
        <v>136</v>
      </c>
      <c r="C201" s="77" t="s">
        <v>414</v>
      </c>
      <c r="D201" s="77">
        <v>8229</v>
      </c>
      <c r="E201" s="77"/>
      <c r="F201" s="105">
        <v>13668</v>
      </c>
      <c r="G201" s="105">
        <v>2278</v>
      </c>
      <c r="H201" s="77">
        <v>582552525</v>
      </c>
    </row>
    <row r="202" spans="1:8" x14ac:dyDescent="0.2">
      <c r="A202" s="95">
        <v>45236</v>
      </c>
      <c r="B202" s="77" t="s">
        <v>95</v>
      </c>
      <c r="C202" s="77" t="s">
        <v>422</v>
      </c>
      <c r="D202" s="77" t="s">
        <v>322</v>
      </c>
      <c r="E202" s="77"/>
      <c r="F202" s="105">
        <v>33.97</v>
      </c>
      <c r="G202" s="105">
        <v>2.82</v>
      </c>
      <c r="H202" s="77" t="s">
        <v>446</v>
      </c>
    </row>
    <row r="203" spans="1:8" x14ac:dyDescent="0.2">
      <c r="A203" s="95">
        <v>45236</v>
      </c>
      <c r="B203" s="77" t="s">
        <v>426</v>
      </c>
      <c r="C203" s="77" t="s">
        <v>422</v>
      </c>
      <c r="D203" s="78" t="s">
        <v>322</v>
      </c>
      <c r="E203" s="77"/>
      <c r="F203" s="105">
        <v>7.85</v>
      </c>
      <c r="G203" s="105">
        <v>1.31</v>
      </c>
      <c r="H203" s="77" t="s">
        <v>444</v>
      </c>
    </row>
    <row r="204" spans="1:8" x14ac:dyDescent="0.2">
      <c r="A204" s="95">
        <v>45237</v>
      </c>
      <c r="B204" s="77" t="s">
        <v>261</v>
      </c>
      <c r="C204" s="77" t="s">
        <v>421</v>
      </c>
      <c r="D204" s="77">
        <v>7112023</v>
      </c>
      <c r="E204" s="77"/>
      <c r="F204" s="105">
        <v>150</v>
      </c>
      <c r="G204" s="105">
        <v>25</v>
      </c>
      <c r="H204" s="77">
        <v>376832713</v>
      </c>
    </row>
    <row r="205" spans="1:8" x14ac:dyDescent="0.2">
      <c r="A205" s="95">
        <v>45252</v>
      </c>
      <c r="B205" s="77" t="s">
        <v>231</v>
      </c>
      <c r="C205" s="77" t="s">
        <v>427</v>
      </c>
      <c r="D205" s="77" t="s">
        <v>249</v>
      </c>
      <c r="E205" s="77"/>
      <c r="F205" s="105">
        <v>18.64</v>
      </c>
      <c r="G205" s="105">
        <v>3.11</v>
      </c>
      <c r="H205" s="77" t="s">
        <v>445</v>
      </c>
    </row>
    <row r="206" spans="1:8" x14ac:dyDescent="0.2">
      <c r="A206" s="95">
        <v>45260</v>
      </c>
      <c r="B206" s="77" t="s">
        <v>424</v>
      </c>
      <c r="C206" s="77" t="s">
        <v>425</v>
      </c>
      <c r="D206" s="77">
        <v>32375</v>
      </c>
      <c r="E206" s="77"/>
      <c r="F206" s="105">
        <v>576</v>
      </c>
      <c r="G206" s="105">
        <v>96</v>
      </c>
      <c r="H206" s="77" t="s">
        <v>199</v>
      </c>
    </row>
    <row r="207" spans="1:8" x14ac:dyDescent="0.2">
      <c r="A207" s="95">
        <v>45270</v>
      </c>
      <c r="B207" s="77" t="s">
        <v>413</v>
      </c>
      <c r="C207" s="77" t="s">
        <v>423</v>
      </c>
      <c r="D207" s="77" t="s">
        <v>322</v>
      </c>
      <c r="E207" s="77"/>
      <c r="F207" s="105">
        <v>92.65</v>
      </c>
      <c r="G207" s="105">
        <v>1.33</v>
      </c>
      <c r="H207" s="77">
        <v>232457280</v>
      </c>
    </row>
    <row r="208" spans="1:8" x14ac:dyDescent="0.2">
      <c r="A208" s="95">
        <v>45294</v>
      </c>
      <c r="B208" s="77" t="s">
        <v>95</v>
      </c>
      <c r="C208" s="77" t="s">
        <v>442</v>
      </c>
      <c r="D208" s="77" t="s">
        <v>441</v>
      </c>
      <c r="E208" s="77"/>
      <c r="F208" s="105">
        <v>9.98</v>
      </c>
      <c r="G208" s="105">
        <v>1.66</v>
      </c>
      <c r="H208" s="77" t="s">
        <v>441</v>
      </c>
    </row>
    <row r="209" spans="1:8" x14ac:dyDescent="0.2">
      <c r="A209" s="95">
        <v>45313</v>
      </c>
      <c r="B209" s="77" t="s">
        <v>95</v>
      </c>
      <c r="C209" s="77" t="s">
        <v>443</v>
      </c>
      <c r="D209" s="77">
        <v>8750735729</v>
      </c>
      <c r="E209" s="77"/>
      <c r="F209" s="105">
        <v>78.44</v>
      </c>
      <c r="G209" s="105">
        <v>13.08</v>
      </c>
      <c r="H209" s="77" t="s">
        <v>369</v>
      </c>
    </row>
    <row r="210" spans="1:8" x14ac:dyDescent="0.2">
      <c r="A210" s="95">
        <v>45347</v>
      </c>
      <c r="B210" s="58" t="s">
        <v>312</v>
      </c>
      <c r="C210" s="77" t="s">
        <v>452</v>
      </c>
      <c r="D210" s="58">
        <v>950</v>
      </c>
      <c r="E210" s="77"/>
      <c r="F210" s="105">
        <v>660</v>
      </c>
      <c r="G210" s="105">
        <v>110</v>
      </c>
      <c r="H210" s="77">
        <v>375930664</v>
      </c>
    </row>
    <row r="211" spans="1:8" x14ac:dyDescent="0.2">
      <c r="A211" s="95">
        <v>45350</v>
      </c>
      <c r="B211" s="58" t="s">
        <v>95</v>
      </c>
      <c r="C211" s="77" t="s">
        <v>453</v>
      </c>
      <c r="D211" s="58" t="s">
        <v>454</v>
      </c>
      <c r="E211" s="77"/>
      <c r="F211" s="105">
        <v>55.04</v>
      </c>
      <c r="G211" s="105">
        <v>9.17</v>
      </c>
      <c r="H211" s="77">
        <v>385529654</v>
      </c>
    </row>
    <row r="212" spans="1:8" x14ac:dyDescent="0.2">
      <c r="A212" s="95"/>
      <c r="B212" s="77"/>
      <c r="C212" s="77"/>
      <c r="D212" s="77"/>
      <c r="E212" s="77"/>
      <c r="F212" s="171">
        <f>SUM(F172:F211)</f>
        <v>24924.75</v>
      </c>
      <c r="G212" s="171">
        <f>SUM(G172:G211)</f>
        <v>4126.5499999999993</v>
      </c>
      <c r="H212" s="77"/>
    </row>
    <row r="214" spans="1:8" x14ac:dyDescent="0.2">
      <c r="A214" s="95"/>
      <c r="B214" s="133" t="s">
        <v>544</v>
      </c>
      <c r="C214" s="77"/>
      <c r="D214" s="77"/>
      <c r="E214" s="77"/>
      <c r="F214" s="105"/>
      <c r="G214" s="105"/>
      <c r="H214" s="77"/>
    </row>
    <row r="215" spans="1:8" ht="48" x14ac:dyDescent="0.2">
      <c r="A215" s="68" t="s">
        <v>111</v>
      </c>
      <c r="B215" s="66" t="s">
        <v>101</v>
      </c>
      <c r="C215" s="66" t="s">
        <v>107</v>
      </c>
      <c r="D215" s="66" t="s">
        <v>82</v>
      </c>
      <c r="E215" s="68" t="s">
        <v>111</v>
      </c>
      <c r="F215" s="67" t="s">
        <v>112</v>
      </c>
      <c r="G215" s="67" t="s">
        <v>108</v>
      </c>
      <c r="H215" s="66" t="s">
        <v>109</v>
      </c>
    </row>
    <row r="216" spans="1:8" x14ac:dyDescent="0.2">
      <c r="A216" s="95">
        <v>45283</v>
      </c>
      <c r="B216" s="58" t="s">
        <v>95</v>
      </c>
      <c r="C216" s="77" t="s">
        <v>459</v>
      </c>
      <c r="D216" s="77" t="s">
        <v>460</v>
      </c>
      <c r="E216" s="77"/>
      <c r="F216" s="105">
        <v>6.99</v>
      </c>
      <c r="G216" s="105">
        <v>1.17</v>
      </c>
      <c r="H216" s="77" t="s">
        <v>110</v>
      </c>
    </row>
    <row r="217" spans="1:8" x14ac:dyDescent="0.2">
      <c r="A217" s="95">
        <v>45330</v>
      </c>
      <c r="B217" s="58" t="s">
        <v>95</v>
      </c>
      <c r="C217" s="77" t="s">
        <v>464</v>
      </c>
      <c r="D217" s="77" t="s">
        <v>465</v>
      </c>
      <c r="E217" s="77"/>
      <c r="F217" s="105">
        <v>6.76</v>
      </c>
      <c r="G217" s="105">
        <v>1.1200000000000001</v>
      </c>
      <c r="H217" s="77" t="s">
        <v>466</v>
      </c>
    </row>
    <row r="218" spans="1:8" x14ac:dyDescent="0.2">
      <c r="A218" s="95">
        <v>45351</v>
      </c>
      <c r="B218" s="58" t="s">
        <v>95</v>
      </c>
      <c r="C218" s="77" t="s">
        <v>461</v>
      </c>
      <c r="D218" s="77" t="s">
        <v>462</v>
      </c>
      <c r="E218" s="77"/>
      <c r="F218" s="105">
        <v>11.52</v>
      </c>
      <c r="G218" s="105">
        <v>2.04</v>
      </c>
      <c r="H218" s="77" t="s">
        <v>463</v>
      </c>
    </row>
    <row r="219" spans="1:8" x14ac:dyDescent="0.2">
      <c r="A219" s="95">
        <v>45382</v>
      </c>
      <c r="B219" s="58" t="s">
        <v>93</v>
      </c>
      <c r="C219" s="77" t="s">
        <v>456</v>
      </c>
      <c r="D219" s="77">
        <v>603122262</v>
      </c>
      <c r="E219" s="77"/>
      <c r="F219" s="105">
        <v>444.28</v>
      </c>
      <c r="G219" s="105">
        <v>74.040000000000006</v>
      </c>
      <c r="H219" s="77">
        <v>193548138</v>
      </c>
    </row>
    <row r="220" spans="1:8" x14ac:dyDescent="0.2">
      <c r="A220" s="95">
        <v>45386</v>
      </c>
      <c r="B220" s="77" t="s">
        <v>312</v>
      </c>
      <c r="C220" s="77" t="s">
        <v>468</v>
      </c>
      <c r="D220" s="77">
        <v>958</v>
      </c>
      <c r="E220" s="95">
        <v>45386</v>
      </c>
      <c r="F220" s="105">
        <v>96</v>
      </c>
      <c r="G220" s="105">
        <v>16</v>
      </c>
      <c r="H220" s="77">
        <v>375930664</v>
      </c>
    </row>
    <row r="221" spans="1:8" x14ac:dyDescent="0.2">
      <c r="A221" s="95">
        <v>45382</v>
      </c>
      <c r="B221" s="77" t="s">
        <v>395</v>
      </c>
      <c r="C221" s="77" t="s">
        <v>469</v>
      </c>
      <c r="D221" s="77">
        <v>15797</v>
      </c>
      <c r="E221" s="95">
        <v>45382</v>
      </c>
      <c r="F221" s="105">
        <v>453.6</v>
      </c>
      <c r="G221" s="105">
        <v>75.599999999999994</v>
      </c>
      <c r="H221" s="77">
        <v>321943962</v>
      </c>
    </row>
    <row r="222" spans="1:8" x14ac:dyDescent="0.2">
      <c r="A222" s="95">
        <v>45376</v>
      </c>
      <c r="B222" s="77" t="s">
        <v>413</v>
      </c>
      <c r="C222" s="77" t="s">
        <v>470</v>
      </c>
      <c r="D222" s="77" t="s">
        <v>249</v>
      </c>
      <c r="E222" s="95">
        <v>45376</v>
      </c>
      <c r="F222" s="105">
        <v>231.8</v>
      </c>
      <c r="G222" s="105">
        <v>1.3</v>
      </c>
      <c r="H222" s="77">
        <v>232457280</v>
      </c>
    </row>
    <row r="223" spans="1:8" x14ac:dyDescent="0.2">
      <c r="A223" s="95">
        <v>45412</v>
      </c>
      <c r="B223" s="77" t="s">
        <v>291</v>
      </c>
      <c r="C223" s="77" t="s">
        <v>473</v>
      </c>
      <c r="D223" s="77">
        <v>8405</v>
      </c>
      <c r="E223" s="62">
        <v>45412</v>
      </c>
      <c r="F223" s="105">
        <v>13219.2</v>
      </c>
      <c r="G223" s="105">
        <v>2203.1999999999998</v>
      </c>
      <c r="H223" s="77">
        <v>582552525</v>
      </c>
    </row>
    <row r="224" spans="1:8" x14ac:dyDescent="0.2">
      <c r="A224" s="95">
        <v>45425</v>
      </c>
      <c r="B224" s="77" t="s">
        <v>479</v>
      </c>
      <c r="C224" s="77" t="s">
        <v>480</v>
      </c>
      <c r="D224" s="77">
        <v>705094691</v>
      </c>
      <c r="E224" s="95">
        <v>45425</v>
      </c>
      <c r="F224" s="105">
        <v>84</v>
      </c>
      <c r="G224" s="105">
        <v>14</v>
      </c>
      <c r="H224" s="77">
        <v>122445838</v>
      </c>
    </row>
    <row r="225" spans="1:8" x14ac:dyDescent="0.2">
      <c r="A225" s="95">
        <v>45421</v>
      </c>
      <c r="B225" s="77" t="s">
        <v>481</v>
      </c>
      <c r="C225" s="77" t="s">
        <v>482</v>
      </c>
      <c r="D225" s="77" t="s">
        <v>483</v>
      </c>
      <c r="E225" s="95">
        <v>45421</v>
      </c>
      <c r="F225" s="105">
        <v>45</v>
      </c>
      <c r="G225" s="105">
        <v>7.5</v>
      </c>
      <c r="H225" s="77" t="s">
        <v>331</v>
      </c>
    </row>
    <row r="226" spans="1:8" x14ac:dyDescent="0.2">
      <c r="A226" s="95">
        <v>45404</v>
      </c>
      <c r="B226" s="77" t="s">
        <v>95</v>
      </c>
      <c r="C226" s="77" t="s">
        <v>513</v>
      </c>
      <c r="D226" s="77" t="s">
        <v>484</v>
      </c>
      <c r="E226" s="95">
        <v>45404</v>
      </c>
      <c r="F226" s="105">
        <v>75.989999999999995</v>
      </c>
      <c r="G226" s="105">
        <v>12.67</v>
      </c>
      <c r="H226" s="77" t="s">
        <v>449</v>
      </c>
    </row>
    <row r="227" spans="1:8" x14ac:dyDescent="0.2">
      <c r="A227" s="95">
        <v>45401</v>
      </c>
      <c r="B227" s="77" t="s">
        <v>95</v>
      </c>
      <c r="C227" s="77" t="s">
        <v>514</v>
      </c>
      <c r="D227" s="77" t="s">
        <v>515</v>
      </c>
      <c r="E227" s="95">
        <v>45401</v>
      </c>
      <c r="F227" s="105">
        <v>7.99</v>
      </c>
      <c r="G227" s="105">
        <v>1.33</v>
      </c>
      <c r="H227" s="77" t="s">
        <v>333</v>
      </c>
    </row>
    <row r="228" spans="1:8" x14ac:dyDescent="0.2">
      <c r="A228" s="95">
        <v>45401</v>
      </c>
      <c r="B228" s="77" t="s">
        <v>95</v>
      </c>
      <c r="C228" s="77" t="s">
        <v>516</v>
      </c>
      <c r="D228" s="77" t="s">
        <v>517</v>
      </c>
      <c r="E228" s="95">
        <v>45401</v>
      </c>
      <c r="F228" s="105">
        <v>4.49</v>
      </c>
      <c r="G228" s="105">
        <v>0.75</v>
      </c>
      <c r="H228" s="77" t="s">
        <v>518</v>
      </c>
    </row>
    <row r="229" spans="1:8" x14ac:dyDescent="0.2">
      <c r="A229" s="95">
        <v>45419</v>
      </c>
      <c r="B229" s="77" t="s">
        <v>485</v>
      </c>
      <c r="C229" s="77" t="s">
        <v>486</v>
      </c>
      <c r="D229" s="77" t="s">
        <v>487</v>
      </c>
      <c r="E229" s="95">
        <v>45419</v>
      </c>
      <c r="F229" s="105">
        <v>292.5</v>
      </c>
      <c r="G229" s="105">
        <v>48.75</v>
      </c>
      <c r="H229" s="77" t="s">
        <v>124</v>
      </c>
    </row>
    <row r="230" spans="1:8" x14ac:dyDescent="0.2">
      <c r="A230" s="95">
        <v>45341</v>
      </c>
      <c r="B230" s="77" t="s">
        <v>255</v>
      </c>
      <c r="C230" s="77" t="s">
        <v>488</v>
      </c>
      <c r="D230" s="77">
        <v>175219</v>
      </c>
      <c r="E230" s="95">
        <v>45341</v>
      </c>
      <c r="F230" s="105">
        <v>44.39</v>
      </c>
      <c r="G230" s="105">
        <v>5.99</v>
      </c>
      <c r="H230" s="77" t="s">
        <v>519</v>
      </c>
    </row>
    <row r="231" spans="1:8" x14ac:dyDescent="0.2">
      <c r="A231" s="95">
        <v>45412</v>
      </c>
      <c r="B231" s="77" t="s">
        <v>395</v>
      </c>
      <c r="C231" s="77" t="s">
        <v>489</v>
      </c>
      <c r="D231" s="77">
        <v>15861</v>
      </c>
      <c r="E231" s="95">
        <v>45412</v>
      </c>
      <c r="F231" s="105">
        <v>991.49</v>
      </c>
      <c r="G231" s="105">
        <v>165.25</v>
      </c>
      <c r="H231" s="77">
        <v>321943962</v>
      </c>
    </row>
    <row r="232" spans="1:8" x14ac:dyDescent="0.2">
      <c r="A232" s="95">
        <v>45443</v>
      </c>
      <c r="B232" s="77" t="s">
        <v>395</v>
      </c>
      <c r="C232" s="77" t="s">
        <v>490</v>
      </c>
      <c r="D232" s="77">
        <v>15921</v>
      </c>
      <c r="E232" s="95">
        <v>45443</v>
      </c>
      <c r="F232" s="105">
        <v>991.49</v>
      </c>
      <c r="G232" s="105">
        <v>165.25</v>
      </c>
      <c r="H232" s="77">
        <v>321943962</v>
      </c>
    </row>
    <row r="233" spans="1:8" x14ac:dyDescent="0.2">
      <c r="A233" s="95">
        <v>45473</v>
      </c>
      <c r="B233" s="77" t="s">
        <v>395</v>
      </c>
      <c r="C233" s="77" t="s">
        <v>491</v>
      </c>
      <c r="D233" s="77">
        <v>15984</v>
      </c>
      <c r="E233" s="95">
        <v>45473</v>
      </c>
      <c r="F233" s="105">
        <v>991.45</v>
      </c>
      <c r="G233" s="105">
        <v>165.25</v>
      </c>
      <c r="H233" s="77">
        <v>321943962</v>
      </c>
    </row>
    <row r="234" spans="1:8" x14ac:dyDescent="0.2">
      <c r="A234" s="95">
        <v>45504</v>
      </c>
      <c r="B234" s="77" t="s">
        <v>395</v>
      </c>
      <c r="C234" s="77" t="s">
        <v>492</v>
      </c>
      <c r="D234" s="77">
        <v>16046</v>
      </c>
      <c r="E234" s="95">
        <v>45504</v>
      </c>
      <c r="F234" s="105">
        <v>495.74</v>
      </c>
      <c r="G234" s="105">
        <v>82.62</v>
      </c>
      <c r="H234" s="77">
        <v>321943962</v>
      </c>
    </row>
    <row r="235" spans="1:8" x14ac:dyDescent="0.2">
      <c r="A235" s="95">
        <v>45520</v>
      </c>
      <c r="B235" s="77" t="s">
        <v>171</v>
      </c>
      <c r="C235" s="77" t="s">
        <v>493</v>
      </c>
      <c r="D235" s="77">
        <v>325349</v>
      </c>
      <c r="E235" s="95">
        <v>45520</v>
      </c>
      <c r="F235" s="105">
        <v>252</v>
      </c>
      <c r="G235" s="105">
        <v>42</v>
      </c>
      <c r="H235" s="77">
        <v>120431530</v>
      </c>
    </row>
    <row r="236" spans="1:8" x14ac:dyDescent="0.2">
      <c r="A236" s="95">
        <v>45535</v>
      </c>
      <c r="B236" s="77" t="s">
        <v>395</v>
      </c>
      <c r="C236" s="77" t="s">
        <v>494</v>
      </c>
      <c r="D236" s="77">
        <v>16108</v>
      </c>
      <c r="E236" s="95">
        <v>45535</v>
      </c>
      <c r="F236" s="105">
        <v>991.49</v>
      </c>
      <c r="G236" s="105">
        <v>165.25</v>
      </c>
      <c r="H236" s="77">
        <v>321943962</v>
      </c>
    </row>
    <row r="237" spans="1:8" x14ac:dyDescent="0.2">
      <c r="A237" s="95">
        <v>45555</v>
      </c>
      <c r="B237" s="77" t="s">
        <v>291</v>
      </c>
      <c r="C237" s="77" t="s">
        <v>495</v>
      </c>
      <c r="D237" s="77">
        <v>8648</v>
      </c>
      <c r="E237" s="95">
        <v>45555</v>
      </c>
      <c r="F237" s="105">
        <v>771.6</v>
      </c>
      <c r="G237" s="105">
        <v>128.6</v>
      </c>
      <c r="H237" s="77">
        <v>582552525</v>
      </c>
    </row>
    <row r="238" spans="1:8" x14ac:dyDescent="0.2">
      <c r="A238" s="95">
        <v>45559</v>
      </c>
      <c r="B238" s="77" t="s">
        <v>291</v>
      </c>
      <c r="C238" s="77" t="s">
        <v>373</v>
      </c>
      <c r="D238" s="77">
        <v>8649</v>
      </c>
      <c r="E238" s="95">
        <v>45559</v>
      </c>
      <c r="F238" s="105">
        <v>403.2</v>
      </c>
      <c r="G238" s="105">
        <v>67.2</v>
      </c>
      <c r="H238" s="77">
        <v>582552525</v>
      </c>
    </row>
    <row r="239" spans="1:8" x14ac:dyDescent="0.2">
      <c r="A239" s="95">
        <v>45569</v>
      </c>
      <c r="B239" s="77" t="s">
        <v>291</v>
      </c>
      <c r="C239" s="77" t="s">
        <v>496</v>
      </c>
      <c r="D239" s="77">
        <v>8662</v>
      </c>
      <c r="E239" s="95">
        <v>45569</v>
      </c>
      <c r="F239" s="105">
        <v>5895.6</v>
      </c>
      <c r="G239" s="105">
        <v>982.6</v>
      </c>
      <c r="H239" s="77">
        <v>582552525</v>
      </c>
    </row>
    <row r="240" spans="1:8" x14ac:dyDescent="0.2">
      <c r="A240" s="95">
        <v>45579</v>
      </c>
      <c r="B240" s="77" t="s">
        <v>426</v>
      </c>
      <c r="C240" s="77" t="s">
        <v>497</v>
      </c>
      <c r="D240" s="77" t="s">
        <v>249</v>
      </c>
      <c r="E240" s="95">
        <v>45579</v>
      </c>
      <c r="F240" s="105">
        <v>122.59</v>
      </c>
      <c r="G240" s="105">
        <v>15.43</v>
      </c>
      <c r="H240" s="77" t="s">
        <v>332</v>
      </c>
    </row>
    <row r="241" spans="1:8" x14ac:dyDescent="0.2">
      <c r="A241" s="95">
        <v>45565</v>
      </c>
      <c r="B241" s="77" t="s">
        <v>395</v>
      </c>
      <c r="C241" s="77" t="s">
        <v>498</v>
      </c>
      <c r="D241" s="77">
        <v>16171</v>
      </c>
      <c r="E241" s="95">
        <v>45565</v>
      </c>
      <c r="F241" s="105">
        <v>1013.52</v>
      </c>
      <c r="G241" s="105">
        <v>168.92</v>
      </c>
      <c r="H241" s="77">
        <v>321943962</v>
      </c>
    </row>
    <row r="242" spans="1:8" x14ac:dyDescent="0.2">
      <c r="A242" s="95">
        <v>45566</v>
      </c>
      <c r="B242" s="77" t="s">
        <v>296</v>
      </c>
      <c r="C242" s="77" t="s">
        <v>499</v>
      </c>
      <c r="D242" s="77" t="s">
        <v>249</v>
      </c>
      <c r="E242" s="95">
        <v>45566</v>
      </c>
      <c r="F242" s="105">
        <v>175</v>
      </c>
      <c r="G242" s="105">
        <v>29.17</v>
      </c>
      <c r="H242" s="77" t="s">
        <v>520</v>
      </c>
    </row>
    <row r="243" spans="1:8" x14ac:dyDescent="0.2">
      <c r="A243" s="95">
        <v>45590</v>
      </c>
      <c r="B243" s="77" t="s">
        <v>134</v>
      </c>
      <c r="C243" s="77" t="s">
        <v>500</v>
      </c>
      <c r="D243" s="77" t="s">
        <v>249</v>
      </c>
      <c r="E243" s="95">
        <v>45590</v>
      </c>
      <c r="F243" s="105">
        <v>9.59</v>
      </c>
      <c r="G243" s="105">
        <v>1.6</v>
      </c>
      <c r="H243" s="77" t="s">
        <v>521</v>
      </c>
    </row>
    <row r="244" spans="1:8" x14ac:dyDescent="0.2">
      <c r="A244" s="95">
        <v>45609</v>
      </c>
      <c r="B244" s="77" t="s">
        <v>501</v>
      </c>
      <c r="C244" s="77" t="s">
        <v>502</v>
      </c>
      <c r="D244" s="77" t="s">
        <v>503</v>
      </c>
      <c r="E244" s="95">
        <v>45609</v>
      </c>
      <c r="F244" s="105">
        <v>666.72</v>
      </c>
      <c r="G244" s="105">
        <v>111.12</v>
      </c>
      <c r="H244" s="77">
        <v>111487241</v>
      </c>
    </row>
    <row r="245" spans="1:8" x14ac:dyDescent="0.2">
      <c r="A245" s="95">
        <v>45596</v>
      </c>
      <c r="B245" s="77" t="s">
        <v>395</v>
      </c>
      <c r="C245" s="77" t="s">
        <v>504</v>
      </c>
      <c r="D245" s="77">
        <v>16232</v>
      </c>
      <c r="E245" s="95">
        <v>45596</v>
      </c>
      <c r="F245" s="105">
        <v>567.74</v>
      </c>
      <c r="G245" s="105">
        <v>94.62</v>
      </c>
      <c r="H245" s="77">
        <v>321943962</v>
      </c>
    </row>
    <row r="246" spans="1:8" x14ac:dyDescent="0.2">
      <c r="A246" s="95">
        <v>45593</v>
      </c>
      <c r="B246" s="77" t="s">
        <v>505</v>
      </c>
      <c r="C246" s="77" t="s">
        <v>253</v>
      </c>
      <c r="D246" s="77">
        <v>33054</v>
      </c>
      <c r="E246" s="95">
        <v>45593</v>
      </c>
      <c r="F246" s="105">
        <v>60</v>
      </c>
      <c r="G246" s="105">
        <v>10</v>
      </c>
      <c r="H246" s="77" t="s">
        <v>199</v>
      </c>
    </row>
    <row r="247" spans="1:8" x14ac:dyDescent="0.2">
      <c r="A247" s="95">
        <v>45601</v>
      </c>
      <c r="B247" s="77" t="s">
        <v>95</v>
      </c>
      <c r="C247" s="77" t="s">
        <v>506</v>
      </c>
      <c r="D247" s="77">
        <v>14602</v>
      </c>
      <c r="E247" s="95">
        <v>45601</v>
      </c>
      <c r="F247" s="105">
        <v>87.99</v>
      </c>
      <c r="G247" s="105">
        <v>14.67</v>
      </c>
      <c r="H247" s="77" t="s">
        <v>522</v>
      </c>
    </row>
    <row r="248" spans="1:8" x14ac:dyDescent="0.2">
      <c r="A248" s="95">
        <v>45618</v>
      </c>
      <c r="B248" s="77" t="s">
        <v>505</v>
      </c>
      <c r="C248" s="77" t="s">
        <v>508</v>
      </c>
      <c r="D248" s="77">
        <v>33109</v>
      </c>
      <c r="E248" s="95">
        <v>45618</v>
      </c>
      <c r="F248" s="105">
        <v>576</v>
      </c>
      <c r="G248" s="105">
        <v>96</v>
      </c>
      <c r="H248" s="77" t="s">
        <v>199</v>
      </c>
    </row>
    <row r="249" spans="1:8" x14ac:dyDescent="0.2">
      <c r="A249" s="95">
        <v>45618</v>
      </c>
      <c r="B249" s="77" t="s">
        <v>312</v>
      </c>
      <c r="C249" s="77" t="s">
        <v>509</v>
      </c>
      <c r="D249" s="77">
        <v>1028</v>
      </c>
      <c r="E249" s="95">
        <v>45618</v>
      </c>
      <c r="F249" s="105">
        <v>1680</v>
      </c>
      <c r="G249" s="105">
        <v>280</v>
      </c>
      <c r="H249" s="77">
        <v>375930664</v>
      </c>
    </row>
    <row r="250" spans="1:8" x14ac:dyDescent="0.2">
      <c r="A250" s="95">
        <v>45625</v>
      </c>
      <c r="B250" s="77" t="s">
        <v>261</v>
      </c>
      <c r="C250" s="77" t="s">
        <v>510</v>
      </c>
      <c r="D250" s="77" t="s">
        <v>511</v>
      </c>
      <c r="E250" s="95">
        <v>45625</v>
      </c>
      <c r="F250" s="105">
        <v>150</v>
      </c>
      <c r="G250" s="105">
        <v>25</v>
      </c>
      <c r="H250" s="77">
        <v>376832713</v>
      </c>
    </row>
    <row r="251" spans="1:8" x14ac:dyDescent="0.2">
      <c r="A251" s="95">
        <v>45625</v>
      </c>
      <c r="B251" s="77" t="s">
        <v>261</v>
      </c>
      <c r="C251" s="77" t="s">
        <v>512</v>
      </c>
      <c r="D251" s="77" t="s">
        <v>511</v>
      </c>
      <c r="E251" s="95">
        <v>45625</v>
      </c>
      <c r="F251" s="105">
        <v>300</v>
      </c>
      <c r="G251" s="105">
        <v>50</v>
      </c>
      <c r="H251" s="77">
        <v>376832713</v>
      </c>
    </row>
    <row r="252" spans="1:8" x14ac:dyDescent="0.2">
      <c r="G252" s="69">
        <f>SUM(G216:G251)</f>
        <v>5326.01</v>
      </c>
    </row>
    <row r="253" spans="1:8" x14ac:dyDescent="0.2">
      <c r="A253" s="95"/>
      <c r="B253" s="133" t="s">
        <v>612</v>
      </c>
      <c r="C253" s="77"/>
      <c r="D253" s="77"/>
      <c r="E253" s="77"/>
      <c r="F253" s="105"/>
      <c r="G253" s="105"/>
      <c r="H253" s="77"/>
    </row>
    <row r="254" spans="1:8" ht="48" x14ac:dyDescent="0.2">
      <c r="A254" s="68" t="s">
        <v>613</v>
      </c>
      <c r="B254" s="66" t="s">
        <v>101</v>
      </c>
      <c r="C254" s="66" t="s">
        <v>107</v>
      </c>
      <c r="D254" s="66" t="s">
        <v>82</v>
      </c>
      <c r="E254" s="68" t="s">
        <v>111</v>
      </c>
      <c r="F254" s="67" t="s">
        <v>112</v>
      </c>
      <c r="G254" s="67" t="s">
        <v>108</v>
      </c>
      <c r="H254" s="66" t="s">
        <v>109</v>
      </c>
    </row>
    <row r="255" spans="1:8" x14ac:dyDescent="0.2">
      <c r="A255" s="207">
        <v>45643</v>
      </c>
      <c r="B255" s="11" t="s">
        <v>380</v>
      </c>
      <c r="C255" s="185" t="s">
        <v>532</v>
      </c>
      <c r="D255" s="77" t="s">
        <v>533</v>
      </c>
      <c r="E255" s="95">
        <v>45624</v>
      </c>
      <c r="F255" s="105">
        <v>15.99</v>
      </c>
      <c r="G255" s="105">
        <v>2.67</v>
      </c>
      <c r="H255" s="77" t="s">
        <v>110</v>
      </c>
    </row>
    <row r="256" spans="1:8" x14ac:dyDescent="0.2">
      <c r="A256" s="207">
        <v>45643</v>
      </c>
      <c r="B256" s="11" t="s">
        <v>528</v>
      </c>
      <c r="C256" s="185" t="s">
        <v>529</v>
      </c>
      <c r="D256" s="77" t="s">
        <v>249</v>
      </c>
      <c r="E256" s="95">
        <v>45626</v>
      </c>
      <c r="F256" s="105">
        <v>8.9700000000000006</v>
      </c>
      <c r="G256" s="105">
        <v>1.49</v>
      </c>
      <c r="H256" s="77">
        <v>192805154</v>
      </c>
    </row>
    <row r="257" spans="1:8" x14ac:dyDescent="0.2">
      <c r="A257" s="207">
        <v>45643</v>
      </c>
      <c r="B257" s="11" t="s">
        <v>328</v>
      </c>
      <c r="C257" s="185" t="s">
        <v>531</v>
      </c>
      <c r="D257" s="77" t="s">
        <v>249</v>
      </c>
      <c r="E257" s="95">
        <v>45631</v>
      </c>
      <c r="F257" s="105">
        <v>41.131999999999998</v>
      </c>
      <c r="G257" s="105">
        <v>3.67</v>
      </c>
      <c r="H257" s="77">
        <v>660454836</v>
      </c>
    </row>
    <row r="258" spans="1:8" x14ac:dyDescent="0.2">
      <c r="A258" s="207">
        <v>45643</v>
      </c>
      <c r="B258" s="11" t="s">
        <v>328</v>
      </c>
      <c r="C258" s="185" t="s">
        <v>530</v>
      </c>
      <c r="D258" s="77" t="s">
        <v>249</v>
      </c>
      <c r="E258" s="95">
        <v>45638</v>
      </c>
      <c r="F258" s="105">
        <v>48.45</v>
      </c>
      <c r="G258" s="105">
        <v>0.43</v>
      </c>
      <c r="H258" s="77">
        <v>755163721</v>
      </c>
    </row>
    <row r="259" spans="1:8" x14ac:dyDescent="0.2">
      <c r="A259" s="207">
        <v>45671</v>
      </c>
      <c r="B259" s="11" t="s">
        <v>535</v>
      </c>
      <c r="C259" s="185" t="s">
        <v>536</v>
      </c>
      <c r="D259" s="77" t="s">
        <v>537</v>
      </c>
      <c r="E259" s="95">
        <v>45663</v>
      </c>
      <c r="F259" s="105">
        <v>1743.98</v>
      </c>
      <c r="G259" s="105">
        <v>290.66000000000003</v>
      </c>
      <c r="H259" s="77" t="s">
        <v>614</v>
      </c>
    </row>
    <row r="260" spans="1:8" x14ac:dyDescent="0.2">
      <c r="A260" s="207">
        <v>45735</v>
      </c>
      <c r="B260" s="11" t="s">
        <v>541</v>
      </c>
      <c r="C260" s="185" t="s">
        <v>551</v>
      </c>
      <c r="D260" s="77">
        <v>859360</v>
      </c>
      <c r="E260" s="95">
        <v>45680</v>
      </c>
      <c r="F260" s="105">
        <v>114.44</v>
      </c>
      <c r="G260" s="105">
        <v>19.07</v>
      </c>
      <c r="H260" s="77" t="s">
        <v>615</v>
      </c>
    </row>
    <row r="261" spans="1:8" x14ac:dyDescent="0.2">
      <c r="A261" s="207">
        <v>45688</v>
      </c>
      <c r="B261" s="11" t="s">
        <v>535</v>
      </c>
      <c r="C261" s="185" t="s">
        <v>538</v>
      </c>
      <c r="D261" s="77" t="s">
        <v>539</v>
      </c>
      <c r="E261" s="95">
        <v>45686</v>
      </c>
      <c r="F261" s="105">
        <v>130</v>
      </c>
      <c r="G261" s="105">
        <v>21.67</v>
      </c>
      <c r="H261" s="77" t="s">
        <v>614</v>
      </c>
    </row>
    <row r="262" spans="1:8" x14ac:dyDescent="0.2">
      <c r="A262" s="207">
        <v>45719</v>
      </c>
      <c r="B262" s="11" t="s">
        <v>541</v>
      </c>
      <c r="C262" s="185" t="s">
        <v>542</v>
      </c>
      <c r="D262" s="77" t="s">
        <v>543</v>
      </c>
      <c r="E262" s="95">
        <v>45701</v>
      </c>
      <c r="F262" s="105">
        <v>36.979999999999997</v>
      </c>
      <c r="G262" s="105">
        <v>6.17</v>
      </c>
      <c r="H262" s="77" t="s">
        <v>615</v>
      </c>
    </row>
    <row r="263" spans="1:8" x14ac:dyDescent="0.2">
      <c r="A263" s="207">
        <v>45705</v>
      </c>
      <c r="B263" s="11" t="s">
        <v>95</v>
      </c>
      <c r="C263" s="185" t="s">
        <v>540</v>
      </c>
      <c r="D263" s="77">
        <v>37955</v>
      </c>
      <c r="E263" s="95">
        <v>45706</v>
      </c>
      <c r="F263" s="105">
        <v>109.44</v>
      </c>
      <c r="G263" s="105">
        <v>18.239999999999998</v>
      </c>
      <c r="H263" s="77">
        <v>895296854</v>
      </c>
    </row>
    <row r="264" spans="1:8" x14ac:dyDescent="0.2">
      <c r="A264" s="207">
        <v>45735</v>
      </c>
      <c r="B264" s="11" t="s">
        <v>95</v>
      </c>
      <c r="C264" s="185" t="s">
        <v>546</v>
      </c>
      <c r="D264" s="77" t="s">
        <v>547</v>
      </c>
      <c r="E264" s="95">
        <v>45716</v>
      </c>
      <c r="F264" s="105">
        <v>55.04</v>
      </c>
      <c r="G264" s="105">
        <v>9.17</v>
      </c>
      <c r="H264" s="77">
        <v>385529654</v>
      </c>
    </row>
    <row r="265" spans="1:8" x14ac:dyDescent="0.2">
      <c r="A265" s="207">
        <v>45735</v>
      </c>
      <c r="B265" s="11" t="s">
        <v>95</v>
      </c>
      <c r="C265" s="185" t="s">
        <v>548</v>
      </c>
      <c r="D265" s="77">
        <v>3879</v>
      </c>
      <c r="E265" s="95">
        <v>45723</v>
      </c>
      <c r="F265" s="105">
        <v>720.4</v>
      </c>
      <c r="G265" s="105">
        <v>120.06</v>
      </c>
      <c r="H265" s="77">
        <v>834366812</v>
      </c>
    </row>
    <row r="266" spans="1:8" x14ac:dyDescent="0.2">
      <c r="A266" s="207">
        <v>45735</v>
      </c>
      <c r="B266" s="11" t="s">
        <v>95</v>
      </c>
      <c r="C266" s="185" t="s">
        <v>549</v>
      </c>
      <c r="D266" s="77" t="s">
        <v>550</v>
      </c>
      <c r="E266" s="95">
        <v>45729</v>
      </c>
      <c r="F266" s="105">
        <v>15.99</v>
      </c>
      <c r="G266" s="105">
        <v>2.67</v>
      </c>
      <c r="H266" s="77" t="s">
        <v>110</v>
      </c>
    </row>
    <row r="267" spans="1:8" x14ac:dyDescent="0.2">
      <c r="A267" s="183">
        <v>45769</v>
      </c>
      <c r="B267" s="184" t="s">
        <v>134</v>
      </c>
      <c r="C267" s="184" t="s">
        <v>570</v>
      </c>
      <c r="D267" s="77" t="s">
        <v>583</v>
      </c>
      <c r="E267" s="95">
        <v>45733</v>
      </c>
      <c r="F267" s="105">
        <v>9.89</v>
      </c>
      <c r="G267" s="105">
        <v>1.65</v>
      </c>
      <c r="H267" s="77" t="s">
        <v>583</v>
      </c>
    </row>
    <row r="268" spans="1:8" x14ac:dyDescent="0.2">
      <c r="A268" s="183">
        <v>45769</v>
      </c>
      <c r="B268" s="184" t="s">
        <v>134</v>
      </c>
      <c r="C268" s="184" t="s">
        <v>571</v>
      </c>
      <c r="D268" s="77" t="s">
        <v>584</v>
      </c>
      <c r="E268" s="95">
        <v>45733</v>
      </c>
      <c r="F268" s="105">
        <v>18.04</v>
      </c>
      <c r="G268" s="105">
        <v>3</v>
      </c>
      <c r="H268" s="77" t="s">
        <v>616</v>
      </c>
    </row>
    <row r="269" spans="1:8" x14ac:dyDescent="0.2">
      <c r="A269" s="207">
        <v>45755</v>
      </c>
      <c r="B269" s="207" t="s">
        <v>591</v>
      </c>
      <c r="C269" s="207" t="s">
        <v>592</v>
      </c>
      <c r="D269" s="77">
        <v>603359682</v>
      </c>
      <c r="E269" s="95">
        <v>45747</v>
      </c>
      <c r="F269" s="105">
        <v>474.24</v>
      </c>
      <c r="G269" s="105">
        <v>79.040000000000006</v>
      </c>
      <c r="H269" s="77">
        <v>193548138</v>
      </c>
    </row>
    <row r="270" spans="1:8" x14ac:dyDescent="0.2">
      <c r="A270" s="183">
        <v>45769</v>
      </c>
      <c r="B270" s="183" t="s">
        <v>577</v>
      </c>
      <c r="C270" s="183" t="s">
        <v>578</v>
      </c>
      <c r="D270" s="77">
        <v>16431</v>
      </c>
      <c r="E270" s="95">
        <v>45747</v>
      </c>
      <c r="F270" s="105">
        <v>567.74</v>
      </c>
      <c r="G270" s="105">
        <v>94.62</v>
      </c>
      <c r="H270" s="77">
        <v>321943962</v>
      </c>
    </row>
    <row r="271" spans="1:8" x14ac:dyDescent="0.2">
      <c r="A271" s="183">
        <v>45769</v>
      </c>
      <c r="B271" s="183" t="s">
        <v>580</v>
      </c>
      <c r="C271" s="183" t="s">
        <v>581</v>
      </c>
      <c r="D271" s="77" t="s">
        <v>589</v>
      </c>
      <c r="E271" s="95">
        <v>45747</v>
      </c>
      <c r="F271" s="105">
        <v>333.6</v>
      </c>
      <c r="G271" s="105">
        <v>55.6</v>
      </c>
      <c r="H271" s="77">
        <v>111487241</v>
      </c>
    </row>
    <row r="272" spans="1:8" x14ac:dyDescent="0.2">
      <c r="A272" s="213"/>
      <c r="B272" s="213"/>
      <c r="C272" s="213"/>
      <c r="E272" s="62"/>
      <c r="G272" s="105">
        <f>SUM(G255:G271)</f>
        <v>729.88000000000011</v>
      </c>
    </row>
    <row r="273" spans="1:12" x14ac:dyDescent="0.2">
      <c r="A273" s="213"/>
      <c r="B273" s="213"/>
      <c r="C273" s="213"/>
      <c r="E273" s="62"/>
    </row>
    <row r="274" spans="1:12" x14ac:dyDescent="0.2">
      <c r="B274" s="133" t="s">
        <v>834</v>
      </c>
    </row>
    <row r="275" spans="1:12" ht="48" x14ac:dyDescent="0.2">
      <c r="A275" s="68" t="s">
        <v>613</v>
      </c>
      <c r="B275" s="66" t="s">
        <v>101</v>
      </c>
      <c r="C275" s="66" t="s">
        <v>107</v>
      </c>
      <c r="D275" s="66" t="s">
        <v>82</v>
      </c>
      <c r="E275" s="297" t="s">
        <v>111</v>
      </c>
      <c r="F275" s="67" t="s">
        <v>112</v>
      </c>
      <c r="G275" s="67" t="s">
        <v>108</v>
      </c>
      <c r="H275" s="66" t="s">
        <v>109</v>
      </c>
    </row>
    <row r="276" spans="1:12" x14ac:dyDescent="0.2">
      <c r="A276" s="95">
        <v>45777</v>
      </c>
      <c r="B276" s="77" t="s">
        <v>485</v>
      </c>
      <c r="C276" s="77" t="s">
        <v>486</v>
      </c>
      <c r="D276" s="77" t="s">
        <v>622</v>
      </c>
      <c r="E276" s="298">
        <v>45775</v>
      </c>
      <c r="F276" s="105">
        <v>273</v>
      </c>
      <c r="G276" s="105">
        <v>45.5</v>
      </c>
      <c r="H276" s="77" t="s">
        <v>835</v>
      </c>
      <c r="I276" s="69">
        <v>273</v>
      </c>
      <c r="J276" s="69">
        <v>45.5</v>
      </c>
      <c r="K276" s="69">
        <f>J276-G276</f>
        <v>0</v>
      </c>
      <c r="L276" s="69">
        <f>I276-F276</f>
        <v>0</v>
      </c>
    </row>
    <row r="277" spans="1:12" x14ac:dyDescent="0.2">
      <c r="A277" s="95">
        <v>45790</v>
      </c>
      <c r="B277" s="77" t="s">
        <v>577</v>
      </c>
      <c r="C277" s="77" t="s">
        <v>640</v>
      </c>
      <c r="D277" s="77">
        <v>16490</v>
      </c>
      <c r="E277" s="298">
        <v>45777</v>
      </c>
      <c r="F277" s="105">
        <v>1118.5</v>
      </c>
      <c r="G277" s="105">
        <v>186.42</v>
      </c>
      <c r="H277" s="77">
        <v>321943962</v>
      </c>
      <c r="I277" s="69">
        <v>1118.5</v>
      </c>
      <c r="J277" s="69">
        <v>186.42</v>
      </c>
      <c r="K277" s="69">
        <f t="shared" ref="K277:K295" si="0">J277-G277</f>
        <v>0</v>
      </c>
      <c r="L277" s="69">
        <f t="shared" ref="L277:L317" si="1">I277-F277</f>
        <v>0</v>
      </c>
    </row>
    <row r="278" spans="1:12" x14ac:dyDescent="0.2">
      <c r="A278" s="95">
        <v>45790</v>
      </c>
      <c r="B278" s="77" t="s">
        <v>95</v>
      </c>
      <c r="C278" s="77" t="s">
        <v>641</v>
      </c>
      <c r="D278" s="77" t="s">
        <v>249</v>
      </c>
      <c r="E278" s="298">
        <v>45770</v>
      </c>
      <c r="F278" s="105">
        <v>73.849999999999994</v>
      </c>
      <c r="G278" s="105">
        <v>9.5</v>
      </c>
      <c r="H278" s="77">
        <v>660454336</v>
      </c>
      <c r="I278" s="69">
        <v>73.849999999999994</v>
      </c>
      <c r="J278" s="69">
        <v>9.5</v>
      </c>
      <c r="K278" s="69">
        <f t="shared" si="0"/>
        <v>0</v>
      </c>
      <c r="L278" s="69">
        <f t="shared" si="1"/>
        <v>0</v>
      </c>
    </row>
    <row r="279" spans="1:12" x14ac:dyDescent="0.2">
      <c r="A279" s="183">
        <v>45797</v>
      </c>
      <c r="B279" s="184" t="s">
        <v>393</v>
      </c>
      <c r="C279" s="285" t="s">
        <v>394</v>
      </c>
      <c r="D279" s="262" t="s">
        <v>642</v>
      </c>
      <c r="E279" s="298">
        <v>45786</v>
      </c>
      <c r="F279" s="105">
        <v>45</v>
      </c>
      <c r="G279" s="105">
        <v>7.5</v>
      </c>
      <c r="H279" s="77" t="s">
        <v>331</v>
      </c>
      <c r="I279" s="69">
        <v>45</v>
      </c>
      <c r="J279" s="69">
        <v>7.5</v>
      </c>
      <c r="K279" s="69">
        <f t="shared" si="0"/>
        <v>0</v>
      </c>
      <c r="L279" s="69">
        <f t="shared" si="1"/>
        <v>0</v>
      </c>
    </row>
    <row r="280" spans="1:12" x14ac:dyDescent="0.2">
      <c r="A280" s="95">
        <v>45797</v>
      </c>
      <c r="B280" s="77" t="s">
        <v>95</v>
      </c>
      <c r="C280" s="77" t="s">
        <v>643</v>
      </c>
      <c r="D280" s="77" t="s">
        <v>655</v>
      </c>
      <c r="E280" s="298">
        <v>45786</v>
      </c>
      <c r="F280" s="105">
        <v>34.69</v>
      </c>
      <c r="G280" s="105">
        <v>5.78</v>
      </c>
      <c r="H280" s="77" t="s">
        <v>836</v>
      </c>
      <c r="I280" s="69">
        <v>26.02</v>
      </c>
      <c r="J280" s="69">
        <v>5.78</v>
      </c>
      <c r="K280" s="69">
        <f t="shared" si="0"/>
        <v>0</v>
      </c>
      <c r="L280" s="69">
        <f t="shared" si="1"/>
        <v>-8.6699999999999982</v>
      </c>
    </row>
    <row r="281" spans="1:12" x14ac:dyDescent="0.2">
      <c r="A281" s="95">
        <v>45825</v>
      </c>
      <c r="B281" s="77" t="s">
        <v>577</v>
      </c>
      <c r="C281" s="77" t="s">
        <v>650</v>
      </c>
      <c r="D281" s="77">
        <v>16540</v>
      </c>
      <c r="E281" s="298">
        <v>45808</v>
      </c>
      <c r="F281" s="105">
        <v>597.11</v>
      </c>
      <c r="G281" s="105">
        <v>99.51</v>
      </c>
      <c r="H281" s="77">
        <v>321943962</v>
      </c>
      <c r="I281" s="69">
        <v>597.11</v>
      </c>
      <c r="J281" s="69">
        <v>99.51</v>
      </c>
      <c r="K281" s="69">
        <f t="shared" si="0"/>
        <v>0</v>
      </c>
      <c r="L281" s="69">
        <f t="shared" si="1"/>
        <v>0</v>
      </c>
    </row>
    <row r="282" spans="1:12" x14ac:dyDescent="0.2">
      <c r="A282" s="95">
        <v>45825</v>
      </c>
      <c r="B282" s="77" t="s">
        <v>95</v>
      </c>
      <c r="C282" s="77" t="s">
        <v>651</v>
      </c>
      <c r="D282" s="77">
        <v>1048335</v>
      </c>
      <c r="E282" s="298">
        <v>45790</v>
      </c>
      <c r="F282" s="105">
        <v>7.99</v>
      </c>
      <c r="G282" s="105">
        <v>1.33</v>
      </c>
      <c r="H282" s="77" t="s">
        <v>110</v>
      </c>
      <c r="I282" s="69">
        <v>7.99</v>
      </c>
      <c r="J282" s="69">
        <v>1.33</v>
      </c>
      <c r="K282" s="69">
        <f t="shared" si="0"/>
        <v>0</v>
      </c>
      <c r="L282" s="69">
        <f t="shared" si="1"/>
        <v>0</v>
      </c>
    </row>
    <row r="283" spans="1:12" x14ac:dyDescent="0.2">
      <c r="A283" s="95">
        <v>45825</v>
      </c>
      <c r="B283" s="77" t="s">
        <v>659</v>
      </c>
      <c r="C283" s="77" t="s">
        <v>660</v>
      </c>
      <c r="D283" s="77">
        <v>6966</v>
      </c>
      <c r="E283" s="298">
        <v>45827</v>
      </c>
      <c r="F283" s="105">
        <v>399</v>
      </c>
      <c r="G283" s="105">
        <v>66.5</v>
      </c>
      <c r="H283" s="77">
        <v>665048328</v>
      </c>
      <c r="I283" s="69">
        <v>399</v>
      </c>
      <c r="J283" s="69">
        <v>66.5</v>
      </c>
      <c r="K283" s="69">
        <f t="shared" si="0"/>
        <v>0</v>
      </c>
      <c r="L283" s="69">
        <f t="shared" si="1"/>
        <v>0</v>
      </c>
    </row>
    <row r="284" spans="1:12" x14ac:dyDescent="0.2">
      <c r="A284" s="95">
        <v>45852</v>
      </c>
      <c r="B284" s="77" t="s">
        <v>577</v>
      </c>
      <c r="C284" s="77" t="s">
        <v>668</v>
      </c>
      <c r="D284" s="77">
        <v>16595</v>
      </c>
      <c r="E284" s="298">
        <v>45838</v>
      </c>
      <c r="F284" s="105">
        <v>1194.25</v>
      </c>
      <c r="G284" s="105">
        <v>199.05</v>
      </c>
      <c r="H284" s="77">
        <v>321943962</v>
      </c>
      <c r="I284" s="69">
        <v>1194.25</v>
      </c>
      <c r="J284" s="69">
        <v>199.05</v>
      </c>
      <c r="K284" s="69">
        <f t="shared" si="0"/>
        <v>0</v>
      </c>
      <c r="L284" s="69">
        <f t="shared" si="1"/>
        <v>0</v>
      </c>
    </row>
    <row r="285" spans="1:12" x14ac:dyDescent="0.2">
      <c r="A285" s="95">
        <v>45852</v>
      </c>
      <c r="B285" s="77" t="s">
        <v>669</v>
      </c>
      <c r="C285" s="77" t="s">
        <v>670</v>
      </c>
      <c r="D285" s="77">
        <v>1287417</v>
      </c>
      <c r="E285" s="298">
        <v>45842</v>
      </c>
      <c r="F285" s="105">
        <v>75.180000000000007</v>
      </c>
      <c r="G285" s="105">
        <v>12.53</v>
      </c>
      <c r="H285" s="77">
        <v>887750270</v>
      </c>
      <c r="I285" s="69">
        <v>75.180000000000007</v>
      </c>
      <c r="J285" s="69">
        <v>12.53</v>
      </c>
      <c r="K285" s="69">
        <f t="shared" si="0"/>
        <v>0</v>
      </c>
      <c r="L285" s="69">
        <f t="shared" si="1"/>
        <v>0</v>
      </c>
    </row>
    <row r="286" spans="1:12" x14ac:dyDescent="0.2">
      <c r="A286" s="95">
        <v>45862</v>
      </c>
      <c r="B286" s="77" t="s">
        <v>672</v>
      </c>
      <c r="C286" s="77" t="s">
        <v>673</v>
      </c>
      <c r="D286" s="77" t="s">
        <v>674</v>
      </c>
      <c r="E286" s="298">
        <v>45854</v>
      </c>
      <c r="F286" s="105">
        <v>252</v>
      </c>
      <c r="G286" s="105">
        <v>42</v>
      </c>
      <c r="H286" s="77">
        <v>120431530</v>
      </c>
      <c r="I286" s="69">
        <v>252</v>
      </c>
      <c r="J286" s="69">
        <v>42</v>
      </c>
      <c r="K286" s="69">
        <f t="shared" si="0"/>
        <v>0</v>
      </c>
      <c r="L286" s="69">
        <f t="shared" si="1"/>
        <v>0</v>
      </c>
    </row>
    <row r="287" spans="1:12" x14ac:dyDescent="0.2">
      <c r="A287" s="95">
        <v>45862</v>
      </c>
      <c r="B287" s="77" t="s">
        <v>675</v>
      </c>
      <c r="C287" s="77" t="s">
        <v>676</v>
      </c>
      <c r="D287" s="77">
        <v>56877</v>
      </c>
      <c r="E287" s="298">
        <v>45856</v>
      </c>
      <c r="F287" s="105">
        <v>139.24</v>
      </c>
      <c r="G287" s="105">
        <v>23.2</v>
      </c>
      <c r="H287" s="77">
        <v>129554495</v>
      </c>
      <c r="I287" s="69">
        <v>139.24</v>
      </c>
      <c r="J287" s="69">
        <v>23.2</v>
      </c>
      <c r="K287" s="69">
        <f t="shared" si="0"/>
        <v>0</v>
      </c>
      <c r="L287" s="69">
        <f t="shared" si="1"/>
        <v>0</v>
      </c>
    </row>
    <row r="288" spans="1:12" x14ac:dyDescent="0.2">
      <c r="A288" s="95">
        <v>45870</v>
      </c>
      <c r="B288" s="77" t="s">
        <v>95</v>
      </c>
      <c r="C288" s="77" t="s">
        <v>680</v>
      </c>
      <c r="D288" s="77" t="s">
        <v>682</v>
      </c>
      <c r="E288" s="298">
        <v>45856</v>
      </c>
      <c r="F288" s="105">
        <v>19.489999999999998</v>
      </c>
      <c r="G288" s="105">
        <v>3.25</v>
      </c>
      <c r="H288" s="77" t="s">
        <v>837</v>
      </c>
      <c r="I288" s="69">
        <v>19.489999999999998</v>
      </c>
      <c r="J288" s="69">
        <v>3.25</v>
      </c>
      <c r="K288" s="69">
        <f t="shared" si="0"/>
        <v>0</v>
      </c>
      <c r="L288" s="69">
        <f t="shared" si="1"/>
        <v>0</v>
      </c>
    </row>
    <row r="289" spans="1:12" x14ac:dyDescent="0.2">
      <c r="A289" s="95">
        <v>45870</v>
      </c>
      <c r="B289" s="77" t="s">
        <v>95</v>
      </c>
      <c r="C289" s="77" t="s">
        <v>681</v>
      </c>
      <c r="D289" s="77" t="s">
        <v>683</v>
      </c>
      <c r="E289" s="298">
        <v>45857</v>
      </c>
      <c r="F289" s="105">
        <v>18.36</v>
      </c>
      <c r="G289" s="105">
        <v>3.08</v>
      </c>
      <c r="H289" s="77" t="s">
        <v>110</v>
      </c>
      <c r="I289" s="69">
        <v>18.36</v>
      </c>
      <c r="J289" s="69">
        <v>3.08</v>
      </c>
      <c r="K289" s="69">
        <f t="shared" si="0"/>
        <v>0</v>
      </c>
      <c r="L289" s="69">
        <f t="shared" si="1"/>
        <v>0</v>
      </c>
    </row>
    <row r="290" spans="1:12" x14ac:dyDescent="0.2">
      <c r="A290" s="95">
        <v>45870</v>
      </c>
      <c r="B290" s="77" t="s">
        <v>580</v>
      </c>
      <c r="C290" s="77" t="s">
        <v>684</v>
      </c>
      <c r="D290" s="77" t="s">
        <v>685</v>
      </c>
      <c r="E290" s="298">
        <v>45868</v>
      </c>
      <c r="F290" s="105">
        <v>356.1</v>
      </c>
      <c r="G290" s="105">
        <v>59.35</v>
      </c>
      <c r="H290" s="77">
        <v>111487241</v>
      </c>
      <c r="I290" s="69">
        <v>356.1</v>
      </c>
      <c r="J290" s="69">
        <v>59.35</v>
      </c>
      <c r="K290" s="69">
        <f t="shared" si="0"/>
        <v>0</v>
      </c>
      <c r="L290" s="69">
        <f t="shared" si="1"/>
        <v>0</v>
      </c>
    </row>
    <row r="291" spans="1:12" x14ac:dyDescent="0.2">
      <c r="A291" s="95">
        <v>45873</v>
      </c>
      <c r="B291" s="77" t="s">
        <v>686</v>
      </c>
      <c r="C291" s="77" t="s">
        <v>687</v>
      </c>
      <c r="D291" s="77">
        <v>4650</v>
      </c>
      <c r="E291" s="298">
        <v>45872</v>
      </c>
      <c r="F291" s="105">
        <v>90</v>
      </c>
      <c r="G291" s="105">
        <v>15</v>
      </c>
      <c r="H291" s="77">
        <v>407543407</v>
      </c>
      <c r="I291" s="69">
        <v>90</v>
      </c>
      <c r="J291" s="69">
        <v>15</v>
      </c>
      <c r="K291" s="69">
        <f t="shared" si="0"/>
        <v>0</v>
      </c>
      <c r="L291" s="69">
        <f t="shared" si="1"/>
        <v>0</v>
      </c>
    </row>
    <row r="292" spans="1:12" x14ac:dyDescent="0.2">
      <c r="A292" s="95">
        <v>45875</v>
      </c>
      <c r="B292" s="77" t="s">
        <v>688</v>
      </c>
      <c r="C292" s="77" t="s">
        <v>689</v>
      </c>
      <c r="D292" s="77">
        <v>33806</v>
      </c>
      <c r="E292" s="298">
        <v>45875</v>
      </c>
      <c r="F292" s="105">
        <v>240</v>
      </c>
      <c r="G292" s="105">
        <v>40</v>
      </c>
      <c r="H292" s="77" t="s">
        <v>199</v>
      </c>
      <c r="I292" s="69">
        <v>240</v>
      </c>
      <c r="J292" s="69">
        <v>40</v>
      </c>
      <c r="K292" s="69">
        <f t="shared" si="0"/>
        <v>0</v>
      </c>
      <c r="L292" s="69">
        <f t="shared" si="1"/>
        <v>0</v>
      </c>
    </row>
    <row r="293" spans="1:12" x14ac:dyDescent="0.2">
      <c r="A293" s="95">
        <v>45915</v>
      </c>
      <c r="B293" s="77" t="s">
        <v>95</v>
      </c>
      <c r="C293" s="77" t="s">
        <v>712</v>
      </c>
      <c r="D293" s="77" t="s">
        <v>249</v>
      </c>
      <c r="E293" s="298">
        <v>45888</v>
      </c>
      <c r="F293" s="105">
        <v>8.9700000000000006</v>
      </c>
      <c r="G293" s="105">
        <v>1.5</v>
      </c>
      <c r="H293" s="77">
        <v>987576246</v>
      </c>
      <c r="I293" s="69">
        <v>8.9700000000000006</v>
      </c>
      <c r="J293" s="69">
        <v>1.5</v>
      </c>
      <c r="K293" s="69">
        <f t="shared" si="0"/>
        <v>0</v>
      </c>
      <c r="L293" s="69">
        <f t="shared" si="1"/>
        <v>0</v>
      </c>
    </row>
    <row r="294" spans="1:12" x14ac:dyDescent="0.2">
      <c r="A294" s="95">
        <v>45915</v>
      </c>
      <c r="B294" s="77" t="s">
        <v>95</v>
      </c>
      <c r="C294" s="77" t="s">
        <v>838</v>
      </c>
      <c r="D294" s="77" t="s">
        <v>822</v>
      </c>
      <c r="E294" s="298">
        <v>45900</v>
      </c>
      <c r="F294" s="105">
        <v>36.090000000000003</v>
      </c>
      <c r="G294" s="105">
        <v>6.02</v>
      </c>
      <c r="H294" s="77" t="s">
        <v>110</v>
      </c>
      <c r="I294" s="69">
        <v>72.180000000000007</v>
      </c>
      <c r="J294" s="69">
        <v>12.04</v>
      </c>
      <c r="K294" s="69">
        <f t="shared" si="0"/>
        <v>6.02</v>
      </c>
      <c r="L294" s="69">
        <f t="shared" si="1"/>
        <v>36.090000000000003</v>
      </c>
    </row>
    <row r="295" spans="1:12" x14ac:dyDescent="0.2">
      <c r="A295" s="95">
        <v>45915</v>
      </c>
      <c r="B295" s="77" t="s">
        <v>95</v>
      </c>
      <c r="C295" s="77" t="s">
        <v>838</v>
      </c>
      <c r="D295" s="77" t="s">
        <v>822</v>
      </c>
      <c r="E295" s="298">
        <v>45900</v>
      </c>
      <c r="F295" s="105">
        <v>36.090000000000003</v>
      </c>
      <c r="G295" s="105">
        <v>6.02</v>
      </c>
      <c r="H295" s="77" t="s">
        <v>110</v>
      </c>
      <c r="K295" s="69">
        <f t="shared" si="0"/>
        <v>-6.02</v>
      </c>
      <c r="L295" s="69">
        <f t="shared" si="1"/>
        <v>-36.090000000000003</v>
      </c>
    </row>
    <row r="296" spans="1:12" x14ac:dyDescent="0.2">
      <c r="A296" s="95">
        <v>45915</v>
      </c>
      <c r="B296" s="77" t="s">
        <v>95</v>
      </c>
      <c r="C296" s="77" t="s">
        <v>714</v>
      </c>
      <c r="D296" s="77" t="s">
        <v>823</v>
      </c>
      <c r="E296" s="298">
        <v>45874</v>
      </c>
      <c r="F296" s="105">
        <v>4.49</v>
      </c>
      <c r="G296" s="105">
        <v>0.75</v>
      </c>
      <c r="H296" s="77" t="s">
        <v>110</v>
      </c>
      <c r="I296" s="69">
        <v>4.49</v>
      </c>
      <c r="J296" s="69">
        <v>0.75</v>
      </c>
      <c r="K296" s="69">
        <f>J296-G296</f>
        <v>0</v>
      </c>
      <c r="L296" s="69">
        <f t="shared" si="1"/>
        <v>0</v>
      </c>
    </row>
    <row r="297" spans="1:12" x14ac:dyDescent="0.2">
      <c r="A297" s="95">
        <v>45915</v>
      </c>
      <c r="B297" s="77" t="s">
        <v>485</v>
      </c>
      <c r="C297" s="77" t="s">
        <v>715</v>
      </c>
      <c r="D297" s="77">
        <v>1466</v>
      </c>
      <c r="E297" s="298">
        <v>45883</v>
      </c>
      <c r="F297" s="105">
        <v>18</v>
      </c>
      <c r="G297" s="105">
        <v>3</v>
      </c>
      <c r="H297" s="77" t="s">
        <v>835</v>
      </c>
      <c r="I297" s="69">
        <v>18</v>
      </c>
      <c r="J297" s="69">
        <v>3</v>
      </c>
      <c r="K297" s="69">
        <f t="shared" ref="K297:K317" si="2">J297-G297</f>
        <v>0</v>
      </c>
      <c r="L297" s="69">
        <f t="shared" si="1"/>
        <v>0</v>
      </c>
    </row>
    <row r="298" spans="1:12" x14ac:dyDescent="0.2">
      <c r="A298" s="95">
        <v>45916</v>
      </c>
      <c r="B298" s="77" t="s">
        <v>577</v>
      </c>
      <c r="C298" s="77" t="s">
        <v>721</v>
      </c>
      <c r="D298" s="77">
        <v>16704</v>
      </c>
      <c r="E298" s="298">
        <v>45900</v>
      </c>
      <c r="F298" s="105">
        <v>597.11</v>
      </c>
      <c r="G298" s="105">
        <v>99.51</v>
      </c>
      <c r="H298" s="77">
        <v>321943962</v>
      </c>
      <c r="I298" s="69">
        <v>597.11</v>
      </c>
      <c r="J298" s="69">
        <v>99.51</v>
      </c>
      <c r="K298" s="69">
        <f t="shared" si="2"/>
        <v>0</v>
      </c>
      <c r="L298" s="69">
        <f t="shared" si="1"/>
        <v>0</v>
      </c>
    </row>
    <row r="299" spans="1:12" x14ac:dyDescent="0.2">
      <c r="A299" s="95">
        <v>45916</v>
      </c>
      <c r="B299" s="77" t="s">
        <v>722</v>
      </c>
      <c r="C299" s="77" t="s">
        <v>723</v>
      </c>
      <c r="D299" s="77" t="s">
        <v>826</v>
      </c>
      <c r="E299" s="298">
        <v>45880</v>
      </c>
      <c r="F299" s="105">
        <v>619.84</v>
      </c>
      <c r="G299" s="105">
        <v>23.84</v>
      </c>
      <c r="H299" s="97"/>
      <c r="I299" s="69">
        <v>619.84</v>
      </c>
      <c r="J299" s="69">
        <v>23.84</v>
      </c>
      <c r="K299" s="69">
        <f t="shared" si="2"/>
        <v>0</v>
      </c>
      <c r="L299" s="69">
        <f t="shared" si="1"/>
        <v>0</v>
      </c>
    </row>
    <row r="300" spans="1:12" x14ac:dyDescent="0.2">
      <c r="A300" s="95">
        <v>45931</v>
      </c>
      <c r="B300" s="77" t="s">
        <v>733</v>
      </c>
      <c r="C300" s="77" t="s">
        <v>734</v>
      </c>
      <c r="D300" s="77" t="s">
        <v>827</v>
      </c>
      <c r="E300" s="298">
        <v>45926</v>
      </c>
      <c r="F300" s="105">
        <v>536.4</v>
      </c>
      <c r="G300" s="105">
        <v>89.4</v>
      </c>
      <c r="H300" s="77" t="s">
        <v>839</v>
      </c>
      <c r="I300" s="69">
        <v>536.4</v>
      </c>
      <c r="J300" s="69">
        <v>89.4</v>
      </c>
      <c r="K300" s="69">
        <f t="shared" si="2"/>
        <v>0</v>
      </c>
      <c r="L300" s="69">
        <f t="shared" si="1"/>
        <v>0</v>
      </c>
    </row>
    <row r="301" spans="1:12" x14ac:dyDescent="0.2">
      <c r="A301" s="95">
        <v>45931</v>
      </c>
      <c r="B301" s="77" t="s">
        <v>688</v>
      </c>
      <c r="C301" s="77" t="s">
        <v>735</v>
      </c>
      <c r="D301" s="77">
        <v>33932</v>
      </c>
      <c r="E301" s="298">
        <v>45926</v>
      </c>
      <c r="F301" s="105">
        <v>150</v>
      </c>
      <c r="G301" s="105">
        <v>25</v>
      </c>
      <c r="H301" s="77" t="s">
        <v>199</v>
      </c>
      <c r="I301" s="69">
        <v>150</v>
      </c>
      <c r="J301" s="69">
        <v>25</v>
      </c>
      <c r="K301" s="69">
        <f t="shared" si="2"/>
        <v>0</v>
      </c>
      <c r="L301" s="69">
        <f t="shared" si="1"/>
        <v>0</v>
      </c>
    </row>
    <row r="302" spans="1:12" x14ac:dyDescent="0.2">
      <c r="A302" s="95">
        <v>45945</v>
      </c>
      <c r="B302" s="77" t="s">
        <v>577</v>
      </c>
      <c r="C302" s="77" t="s">
        <v>746</v>
      </c>
      <c r="D302" s="77">
        <v>16754</v>
      </c>
      <c r="E302" s="298">
        <v>45930</v>
      </c>
      <c r="F302" s="105">
        <v>597.11</v>
      </c>
      <c r="G302" s="105">
        <v>99.51</v>
      </c>
      <c r="H302" s="77">
        <v>321943962</v>
      </c>
      <c r="I302" s="69">
        <v>597.11</v>
      </c>
      <c r="J302" s="69">
        <v>99.51</v>
      </c>
      <c r="K302" s="69">
        <f t="shared" si="2"/>
        <v>0</v>
      </c>
      <c r="L302" s="69">
        <f t="shared" si="1"/>
        <v>0</v>
      </c>
    </row>
    <row r="303" spans="1:12" x14ac:dyDescent="0.2">
      <c r="A303" s="95">
        <v>45959</v>
      </c>
      <c r="B303" s="77" t="s">
        <v>688</v>
      </c>
      <c r="C303" s="77" t="s">
        <v>753</v>
      </c>
      <c r="D303" s="77">
        <v>34009</v>
      </c>
      <c r="E303" s="298">
        <v>45958</v>
      </c>
      <c r="F303" s="105">
        <v>120</v>
      </c>
      <c r="G303" s="105">
        <v>20</v>
      </c>
      <c r="H303" s="77" t="s">
        <v>199</v>
      </c>
      <c r="I303" s="69">
        <v>120</v>
      </c>
      <c r="J303" s="69">
        <v>20</v>
      </c>
      <c r="K303" s="69">
        <f t="shared" si="2"/>
        <v>0</v>
      </c>
      <c r="L303" s="69">
        <f t="shared" si="1"/>
        <v>0</v>
      </c>
    </row>
    <row r="304" spans="1:12" x14ac:dyDescent="0.2">
      <c r="A304" s="95">
        <v>45966</v>
      </c>
      <c r="B304" s="77" t="s">
        <v>380</v>
      </c>
      <c r="C304" s="77" t="s">
        <v>758</v>
      </c>
      <c r="D304" s="77" t="s">
        <v>828</v>
      </c>
      <c r="E304" s="298">
        <v>45948</v>
      </c>
      <c r="F304" s="105">
        <v>31.99</v>
      </c>
      <c r="G304" s="105">
        <v>5.33</v>
      </c>
      <c r="H304" s="77" t="s">
        <v>840</v>
      </c>
      <c r="I304" s="69">
        <v>31.99</v>
      </c>
      <c r="J304" s="69">
        <v>5.33</v>
      </c>
      <c r="K304" s="69">
        <f t="shared" si="2"/>
        <v>0</v>
      </c>
      <c r="L304" s="69">
        <f t="shared" si="1"/>
        <v>0</v>
      </c>
    </row>
    <row r="305" spans="1:12" x14ac:dyDescent="0.2">
      <c r="A305" s="95">
        <v>45966</v>
      </c>
      <c r="B305" s="77" t="s">
        <v>380</v>
      </c>
      <c r="C305" s="77" t="s">
        <v>759</v>
      </c>
      <c r="D305" s="77">
        <v>488963</v>
      </c>
      <c r="E305" s="298">
        <v>45946</v>
      </c>
      <c r="F305" s="105">
        <v>148.68</v>
      </c>
      <c r="G305" s="105">
        <v>24.78</v>
      </c>
      <c r="H305" s="77" t="s">
        <v>332</v>
      </c>
      <c r="I305" s="69">
        <v>148.68</v>
      </c>
      <c r="J305" s="69">
        <v>24.78</v>
      </c>
      <c r="K305" s="69">
        <f t="shared" si="2"/>
        <v>0</v>
      </c>
      <c r="L305" s="69">
        <f t="shared" si="1"/>
        <v>0</v>
      </c>
    </row>
    <row r="306" spans="1:12" x14ac:dyDescent="0.2">
      <c r="A306" s="95">
        <v>45985</v>
      </c>
      <c r="B306" s="77" t="s">
        <v>577</v>
      </c>
      <c r="C306" s="77" t="s">
        <v>774</v>
      </c>
      <c r="D306" s="77">
        <v>16811</v>
      </c>
      <c r="E306" s="298">
        <v>45961</v>
      </c>
      <c r="F306" s="105">
        <v>597.11</v>
      </c>
      <c r="G306" s="105">
        <v>99.51</v>
      </c>
      <c r="H306" s="77">
        <v>321943962</v>
      </c>
      <c r="I306" s="69">
        <v>597.11</v>
      </c>
      <c r="J306" s="69">
        <v>99.51</v>
      </c>
      <c r="K306" s="69">
        <f t="shared" si="2"/>
        <v>0</v>
      </c>
      <c r="L306" s="69">
        <f t="shared" si="1"/>
        <v>0</v>
      </c>
    </row>
    <row r="307" spans="1:12" x14ac:dyDescent="0.2">
      <c r="A307" s="95">
        <v>45985</v>
      </c>
      <c r="B307" s="77" t="s">
        <v>328</v>
      </c>
      <c r="C307" s="77" t="s">
        <v>775</v>
      </c>
      <c r="D307" s="77" t="s">
        <v>829</v>
      </c>
      <c r="E307" s="298">
        <v>45970</v>
      </c>
      <c r="F307" s="105">
        <v>95.88</v>
      </c>
      <c r="G307" s="105">
        <v>15.98</v>
      </c>
      <c r="H307" s="77" t="s">
        <v>187</v>
      </c>
      <c r="I307" s="69">
        <v>95.88</v>
      </c>
      <c r="J307" s="69">
        <v>15.98</v>
      </c>
      <c r="K307" s="69">
        <f t="shared" si="2"/>
        <v>0</v>
      </c>
      <c r="L307" s="69">
        <f t="shared" si="1"/>
        <v>0</v>
      </c>
    </row>
    <row r="308" spans="1:12" x14ac:dyDescent="0.2">
      <c r="A308" s="95">
        <v>45985</v>
      </c>
      <c r="B308" s="77" t="s">
        <v>779</v>
      </c>
      <c r="C308" s="77" t="s">
        <v>778</v>
      </c>
      <c r="D308" s="77" t="s">
        <v>830</v>
      </c>
      <c r="E308" s="298">
        <v>45951</v>
      </c>
      <c r="F308" s="105">
        <v>15.9</v>
      </c>
      <c r="G308" s="105">
        <v>2.65</v>
      </c>
      <c r="H308" s="77" t="s">
        <v>842</v>
      </c>
      <c r="I308" s="69">
        <v>11.93</v>
      </c>
      <c r="J308" s="69">
        <v>2.65</v>
      </c>
      <c r="K308" s="69">
        <f t="shared" si="2"/>
        <v>0</v>
      </c>
      <c r="L308" s="69">
        <f t="shared" si="1"/>
        <v>-3.9700000000000006</v>
      </c>
    </row>
    <row r="309" spans="1:12" x14ac:dyDescent="0.2">
      <c r="A309" s="95">
        <v>45985</v>
      </c>
      <c r="B309" s="77" t="s">
        <v>261</v>
      </c>
      <c r="C309" s="77" t="s">
        <v>780</v>
      </c>
      <c r="D309" s="77" t="s">
        <v>831</v>
      </c>
      <c r="E309" s="298">
        <v>45983</v>
      </c>
      <c r="F309" s="105">
        <v>321</v>
      </c>
      <c r="G309" s="105">
        <v>53.5</v>
      </c>
      <c r="H309" s="77">
        <v>376832713</v>
      </c>
      <c r="I309" s="69">
        <v>321</v>
      </c>
      <c r="J309" s="69">
        <v>53.5</v>
      </c>
      <c r="K309" s="69">
        <f t="shared" si="2"/>
        <v>0</v>
      </c>
      <c r="L309" s="69">
        <f t="shared" si="1"/>
        <v>0</v>
      </c>
    </row>
    <row r="310" spans="1:12" x14ac:dyDescent="0.2">
      <c r="A310" s="95">
        <v>45985</v>
      </c>
      <c r="B310" s="77" t="s">
        <v>688</v>
      </c>
      <c r="C310" s="77" t="s">
        <v>781</v>
      </c>
      <c r="D310" s="77">
        <v>34080</v>
      </c>
      <c r="E310" s="298">
        <v>45986</v>
      </c>
      <c r="F310" s="105">
        <v>576</v>
      </c>
      <c r="G310" s="105">
        <v>96</v>
      </c>
      <c r="H310" s="77" t="s">
        <v>199</v>
      </c>
      <c r="I310" s="69">
        <v>576</v>
      </c>
      <c r="J310" s="69">
        <v>96</v>
      </c>
      <c r="K310" s="69">
        <f t="shared" si="2"/>
        <v>0</v>
      </c>
      <c r="L310" s="69">
        <f t="shared" si="1"/>
        <v>0</v>
      </c>
    </row>
    <row r="311" spans="1:12" x14ac:dyDescent="0.2">
      <c r="A311" s="95">
        <v>45985</v>
      </c>
      <c r="B311" s="77" t="s">
        <v>528</v>
      </c>
      <c r="C311" s="77" t="s">
        <v>782</v>
      </c>
      <c r="D311" s="77" t="s">
        <v>249</v>
      </c>
      <c r="E311" s="298">
        <v>45989</v>
      </c>
      <c r="F311" s="105">
        <v>28.83</v>
      </c>
      <c r="G311" s="105">
        <v>4.0199999999999996</v>
      </c>
      <c r="H311" s="77">
        <v>813053468</v>
      </c>
      <c r="I311" s="69">
        <v>53.62</v>
      </c>
      <c r="J311" s="69">
        <v>7.35</v>
      </c>
      <c r="K311" s="69">
        <f t="shared" si="2"/>
        <v>3.33</v>
      </c>
      <c r="L311" s="69">
        <f t="shared" si="1"/>
        <v>24.79</v>
      </c>
    </row>
    <row r="312" spans="1:12" x14ac:dyDescent="0.2">
      <c r="A312" s="95">
        <v>45985</v>
      </c>
      <c r="B312" s="77" t="s">
        <v>528</v>
      </c>
      <c r="C312" s="77" t="s">
        <v>782</v>
      </c>
      <c r="D312" s="77" t="s">
        <v>249</v>
      </c>
      <c r="E312" s="298">
        <v>45989</v>
      </c>
      <c r="F312" s="105">
        <v>19.989999999999998</v>
      </c>
      <c r="G312" s="105">
        <v>3.33</v>
      </c>
      <c r="H312" s="77">
        <v>813053468</v>
      </c>
      <c r="K312" s="69">
        <f t="shared" si="2"/>
        <v>-3.33</v>
      </c>
      <c r="L312" s="69">
        <f t="shared" si="1"/>
        <v>-19.989999999999998</v>
      </c>
    </row>
    <row r="313" spans="1:12" x14ac:dyDescent="0.2">
      <c r="A313" s="95">
        <v>45993</v>
      </c>
      <c r="B313" s="77" t="s">
        <v>312</v>
      </c>
      <c r="C313" s="77" t="s">
        <v>509</v>
      </c>
      <c r="D313" s="77">
        <v>1164</v>
      </c>
      <c r="E313" s="298">
        <v>45989</v>
      </c>
      <c r="F313" s="105">
        <v>1920</v>
      </c>
      <c r="G313" s="105">
        <v>320</v>
      </c>
      <c r="H313" s="77">
        <v>375930664</v>
      </c>
      <c r="I313" s="69">
        <v>1920</v>
      </c>
      <c r="J313" s="69">
        <v>320</v>
      </c>
      <c r="K313" s="69">
        <f t="shared" si="2"/>
        <v>0</v>
      </c>
      <c r="L313" s="69">
        <f t="shared" si="1"/>
        <v>0</v>
      </c>
    </row>
    <row r="314" spans="1:12" x14ac:dyDescent="0.2">
      <c r="A314" s="95">
        <v>45993</v>
      </c>
      <c r="B314" s="77" t="s">
        <v>312</v>
      </c>
      <c r="C314" s="77" t="s">
        <v>785</v>
      </c>
      <c r="D314" s="77">
        <v>1163</v>
      </c>
      <c r="E314" s="298">
        <v>45989</v>
      </c>
      <c r="F314" s="105">
        <v>660</v>
      </c>
      <c r="G314" s="105">
        <v>110</v>
      </c>
      <c r="H314" s="77">
        <v>375930664</v>
      </c>
      <c r="I314" s="69">
        <v>660</v>
      </c>
      <c r="J314" s="69">
        <v>110</v>
      </c>
      <c r="K314" s="69">
        <f t="shared" si="2"/>
        <v>0</v>
      </c>
      <c r="L314" s="69">
        <f t="shared" si="1"/>
        <v>0</v>
      </c>
    </row>
    <row r="315" spans="1:12" x14ac:dyDescent="0.2">
      <c r="A315" s="95">
        <v>46006</v>
      </c>
      <c r="B315" s="77" t="s">
        <v>328</v>
      </c>
      <c r="C315" s="77" t="s">
        <v>796</v>
      </c>
      <c r="D315" s="77" t="s">
        <v>249</v>
      </c>
      <c r="E315" s="298">
        <v>45982</v>
      </c>
      <c r="F315" s="105">
        <v>9.69</v>
      </c>
      <c r="G315" s="105">
        <v>1.61</v>
      </c>
      <c r="H315" s="77">
        <v>755163721</v>
      </c>
      <c r="I315" s="69">
        <v>9.69</v>
      </c>
      <c r="J315" s="69">
        <v>1.61</v>
      </c>
      <c r="K315" s="69">
        <f t="shared" si="2"/>
        <v>0</v>
      </c>
      <c r="L315" s="69">
        <f t="shared" si="1"/>
        <v>0</v>
      </c>
    </row>
    <row r="316" spans="1:12" x14ac:dyDescent="0.2">
      <c r="A316" s="95">
        <v>46006</v>
      </c>
      <c r="B316" s="77" t="s">
        <v>328</v>
      </c>
      <c r="C316" s="77" t="s">
        <v>797</v>
      </c>
      <c r="D316" s="77" t="s">
        <v>833</v>
      </c>
      <c r="E316" s="298">
        <v>46001</v>
      </c>
      <c r="F316" s="105">
        <v>75.180000000000007</v>
      </c>
      <c r="G316" s="105">
        <v>12.53</v>
      </c>
      <c r="H316" s="77">
        <v>887750270</v>
      </c>
      <c r="I316" s="69">
        <v>75.180000000000007</v>
      </c>
      <c r="J316" s="69">
        <v>12.53</v>
      </c>
      <c r="K316" s="69">
        <f t="shared" si="2"/>
        <v>0</v>
      </c>
      <c r="L316" s="69">
        <f t="shared" si="1"/>
        <v>0</v>
      </c>
    </row>
    <row r="317" spans="1:12" x14ac:dyDescent="0.2">
      <c r="A317" s="95">
        <v>46006</v>
      </c>
      <c r="B317" s="77" t="s">
        <v>485</v>
      </c>
      <c r="C317" s="77" t="s">
        <v>798</v>
      </c>
      <c r="D317" s="77">
        <v>1720</v>
      </c>
      <c r="E317" s="298">
        <v>45981</v>
      </c>
      <c r="F317" s="105">
        <v>273</v>
      </c>
      <c r="G317" s="105">
        <v>45.5</v>
      </c>
      <c r="H317" s="77" t="s">
        <v>835</v>
      </c>
      <c r="I317" s="69">
        <v>273</v>
      </c>
      <c r="J317" s="69">
        <v>45.5</v>
      </c>
      <c r="K317" s="69">
        <f t="shared" si="2"/>
        <v>0</v>
      </c>
      <c r="L317" s="69">
        <f t="shared" si="1"/>
        <v>0</v>
      </c>
    </row>
    <row r="318" spans="1:12" x14ac:dyDescent="0.2">
      <c r="A318" s="95"/>
      <c r="B318" s="77"/>
      <c r="C318" s="77"/>
      <c r="D318" s="77"/>
      <c r="E318" s="294"/>
      <c r="F318" s="105"/>
      <c r="G318" s="105"/>
      <c r="H318" s="77"/>
      <c r="K318" s="69">
        <f>SUM(K276:K317)</f>
        <v>0</v>
      </c>
      <c r="L318" s="69">
        <f>SUM(L276:L317)</f>
        <v>-7.8399999999999981</v>
      </c>
    </row>
    <row r="320" spans="1:12" x14ac:dyDescent="0.2">
      <c r="F320" s="69">
        <f>SUM(F276:F317)</f>
        <v>12431.109999999999</v>
      </c>
      <c r="G320" s="69">
        <f>SUM(G276:G317)</f>
        <v>1988.7899999999997</v>
      </c>
    </row>
    <row r="321" spans="5:7" x14ac:dyDescent="0.2">
      <c r="E321" s="299" t="s">
        <v>843</v>
      </c>
      <c r="F321" s="69">
        <v>12423.27</v>
      </c>
      <c r="G321" s="69">
        <v>1988.79</v>
      </c>
    </row>
    <row r="322" spans="5:7" x14ac:dyDescent="0.2">
      <c r="F322" s="69">
        <f>F320-F321</f>
        <v>7.8399999999983265</v>
      </c>
    </row>
  </sheetData>
  <autoFilter ref="A275:H317" xr:uid="{04EA79F8-605E-A347-9292-D6F5F5365FFD}"/>
  <sortState xmlns:xlrd2="http://schemas.microsoft.com/office/spreadsheetml/2017/richdata2" ref="A255:H271">
    <sortCondition ref="E255:E271"/>
  </sortState>
  <phoneticPr fontId="22" type="noConversion"/>
  <pageMargins left="0.7" right="0.7" top="0.75" bottom="0.75" header="0.3" footer="0.3"/>
  <pageSetup paperSize="9" scale="82"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Budget Status 2025-26</vt:lpstr>
      <vt:lpstr>Activity</vt:lpstr>
      <vt:lpstr>Bank Rec</vt:lpstr>
      <vt:lpstr>TeaClub</vt:lpstr>
      <vt:lpstr>VAT126</vt:lpstr>
      <vt:lpstr>'Bank Rec'!Print_Area</vt:lpstr>
      <vt:lpstr>'Budget Status 2025-26'!Print_Area</vt:lpstr>
      <vt:lpstr>'VAT126'!Print_Area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Myres</dc:creator>
  <cp:keywords/>
  <dc:description/>
  <cp:lastModifiedBy>Morag Birch</cp:lastModifiedBy>
  <cp:revision/>
  <cp:lastPrinted>2025-04-15T15:17:43Z</cp:lastPrinted>
  <dcterms:created xsi:type="dcterms:W3CDTF">2019-05-15T17:12:23Z</dcterms:created>
  <dcterms:modified xsi:type="dcterms:W3CDTF">2026-01-12T14:06:12Z</dcterms:modified>
  <cp:category/>
  <cp:contentStatus/>
</cp:coreProperties>
</file>