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3"/>
  <workbookPr defaultThemeVersion="166925"/>
  <mc:AlternateContent xmlns:mc="http://schemas.openxmlformats.org/markup-compatibility/2006">
    <mc:Choice Requires="x15">
      <x15ac:absPath xmlns:x15ac="http://schemas.microsoft.com/office/spreadsheetml/2010/11/ac" url="/Users/moragbirch/Library/CloudStorage/Dropbox/Parish Council Meetings/2026 - 2027/20260514/"/>
    </mc:Choice>
  </mc:AlternateContent>
  <xr:revisionPtr revIDLastSave="0" documentId="8_{46248E19-FD45-0042-A23F-49C83B993AE0}" xr6:coauthVersionLast="47" xr6:coauthVersionMax="47" xr10:uidLastSave="{00000000-0000-0000-0000-000000000000}"/>
  <bookViews>
    <workbookView xWindow="-35040" yWindow="-1540" windowWidth="33520" windowHeight="17460" xr2:uid="{EF328E6F-9CCF-444D-A76F-F626E7C71552}"/>
  </bookViews>
  <sheets>
    <sheet name="Budget Status 2025-26" sheetId="11" r:id="rId1"/>
    <sheet name="Activity" sheetId="1" r:id="rId2"/>
    <sheet name="AGAR CheckCalcs" sheetId="29" r:id="rId3"/>
    <sheet name="Form" sheetId="30" r:id="rId4"/>
    <sheet name="Box 2" sheetId="38" r:id="rId5"/>
    <sheet name="Box 3" sheetId="39" r:id="rId6"/>
    <sheet name="Box 4" sheetId="41" r:id="rId7"/>
    <sheet name="Box 5 &amp; 10" sheetId="40" r:id="rId8"/>
    <sheet name="Box 6" sheetId="42" r:id="rId9"/>
    <sheet name="Box 7 &amp; 8" sheetId="43" r:id="rId10"/>
    <sheet name="Box 9" sheetId="44" r:id="rId11"/>
    <sheet name="Bank Rec" sheetId="28" r:id="rId12"/>
    <sheet name="TeaClub" sheetId="18" r:id="rId13"/>
    <sheet name="VAT126" sheetId="17" r:id="rId14"/>
  </sheets>
  <definedNames>
    <definedName name="_xlnm._FilterDatabase" localSheetId="1" hidden="1">Activity!$A$4:$R$234</definedName>
    <definedName name="_xlnm._FilterDatabase" localSheetId="2" hidden="1">'AGAR CheckCalcs'!$A$3:$O$219</definedName>
    <definedName name="_xlnm._FilterDatabase" localSheetId="13" hidden="1">'VAT126'!$A$275:$H$317</definedName>
    <definedName name="_xlnm.Print_Area" localSheetId="11">'Bank Rec'!$B$1:$D$24</definedName>
    <definedName name="_xlnm.Print_Area" localSheetId="0">'Budget Status 2025-26'!$A$4:$G$72</definedName>
    <definedName name="_xlnm.Print_Area" localSheetId="13">'VAT126'!$A$49:$H$64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 i="11" l="1"/>
  <c r="J18" i="11"/>
  <c r="J19" i="11"/>
  <c r="J20" i="11"/>
  <c r="J21" i="11"/>
  <c r="J22" i="11"/>
  <c r="J23" i="11"/>
  <c r="J24" i="11"/>
  <c r="J25" i="11"/>
  <c r="J26" i="11"/>
  <c r="J27" i="11"/>
  <c r="J28" i="11"/>
  <c r="J29" i="11"/>
  <c r="J30" i="11"/>
  <c r="J31" i="11"/>
  <c r="J32" i="11"/>
  <c r="J33" i="11"/>
  <c r="J34" i="11"/>
  <c r="J35" i="11"/>
  <c r="J36" i="11"/>
  <c r="J37" i="11"/>
  <c r="J38" i="11"/>
  <c r="J39" i="11"/>
  <c r="J40" i="11"/>
  <c r="J41" i="11"/>
  <c r="J42" i="11"/>
  <c r="J43" i="11"/>
  <c r="J44" i="11"/>
  <c r="J45" i="11"/>
  <c r="J46" i="11"/>
  <c r="J47" i="11"/>
  <c r="J48" i="11"/>
  <c r="J49" i="11"/>
  <c r="J50" i="11"/>
  <c r="J51" i="11"/>
  <c r="J52" i="11"/>
  <c r="J53" i="11"/>
  <c r="J54" i="11"/>
  <c r="J55" i="11"/>
  <c r="J56" i="11"/>
  <c r="J57" i="11"/>
  <c r="J58" i="11"/>
  <c r="J59" i="11"/>
  <c r="J14" i="11"/>
  <c r="J15" i="11"/>
  <c r="J16" i="11"/>
  <c r="J13" i="11"/>
  <c r="I31" i="11"/>
  <c r="I30" i="11"/>
  <c r="G26" i="30"/>
  <c r="H71" i="11"/>
  <c r="H70" i="11"/>
  <c r="F66" i="11"/>
  <c r="M229" i="29" l="1"/>
  <c r="K229" i="29"/>
  <c r="K228" i="29"/>
  <c r="M226" i="29"/>
  <c r="K223" i="29"/>
  <c r="K224" i="29"/>
  <c r="K225" i="29"/>
  <c r="M222" i="29"/>
  <c r="K221" i="29"/>
  <c r="M220" i="29"/>
  <c r="P223" i="1"/>
  <c r="P224" i="1" s="1"/>
  <c r="P225" i="1" s="1"/>
  <c r="P226" i="1" s="1"/>
  <c r="P227" i="1" s="1"/>
  <c r="K223" i="1"/>
  <c r="M223" i="1"/>
  <c r="K224" i="1"/>
  <c r="M224" i="1"/>
  <c r="K225" i="1"/>
  <c r="M225" i="1" s="1"/>
  <c r="K226" i="1"/>
  <c r="M226" i="1" s="1"/>
  <c r="K227" i="1"/>
  <c r="M227" i="1"/>
  <c r="K228" i="1"/>
  <c r="M228" i="1"/>
  <c r="E17" i="42" l="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22" i="1"/>
  <c r="K216" i="1"/>
  <c r="K217" i="1"/>
  <c r="K218" i="1"/>
  <c r="K219" i="1"/>
  <c r="K220" i="1"/>
  <c r="M220" i="1" s="1"/>
  <c r="K221" i="1"/>
  <c r="L208" i="29"/>
  <c r="L197" i="29"/>
  <c r="L186" i="29"/>
  <c r="L174" i="29"/>
  <c r="L154" i="29"/>
  <c r="L135" i="29"/>
  <c r="E9" i="42"/>
  <c r="E12" i="42"/>
  <c r="E6" i="44"/>
  <c r="D10" i="43"/>
  <c r="D11" i="43"/>
  <c r="D12" i="43"/>
  <c r="D13" i="43"/>
  <c r="D14" i="43"/>
  <c r="D15" i="43"/>
  <c r="D16" i="43"/>
  <c r="D9" i="43"/>
  <c r="F5" i="11"/>
  <c r="D17" i="42" l="1"/>
  <c r="E8" i="39" l="1"/>
  <c r="D14" i="30" l="1"/>
  <c r="D22" i="30"/>
  <c r="E22" i="30" s="1"/>
  <c r="D24" i="30"/>
  <c r="D250" i="29" l="1"/>
  <c r="M216" i="29"/>
  <c r="M217" i="29"/>
  <c r="M218" i="29"/>
  <c r="M219" i="29"/>
  <c r="M215" i="29"/>
  <c r="M219" i="1"/>
  <c r="G340" i="17" l="1"/>
  <c r="F340" i="17"/>
  <c r="M218" i="1"/>
  <c r="D254" i="29"/>
  <c r="J229" i="29"/>
  <c r="M209" i="29"/>
  <c r="M210" i="29"/>
  <c r="M211" i="29"/>
  <c r="M212" i="29"/>
  <c r="M213" i="29"/>
  <c r="M214" i="29"/>
  <c r="M205" i="29"/>
  <c r="L204" i="29"/>
  <c r="L206" i="29"/>
  <c r="L207" i="29"/>
  <c r="L203" i="29"/>
  <c r="J202" i="29"/>
  <c r="I228" i="29"/>
  <c r="H228" i="29"/>
  <c r="N228" i="29"/>
  <c r="N233" i="29" s="1"/>
  <c r="M204" i="1"/>
  <c r="M205" i="1"/>
  <c r="M206" i="1"/>
  <c r="M207" i="1"/>
  <c r="M208" i="1"/>
  <c r="M209" i="1"/>
  <c r="M210" i="1"/>
  <c r="M211" i="1"/>
  <c r="M212" i="1"/>
  <c r="M213" i="1"/>
  <c r="M214" i="1"/>
  <c r="M215" i="1"/>
  <c r="M222" i="1"/>
  <c r="M216" i="1"/>
  <c r="M217" i="1"/>
  <c r="E40" i="28"/>
  <c r="E41" i="28" s="1"/>
  <c r="D40" i="28"/>
  <c r="D41" i="28" s="1"/>
  <c r="D23" i="28" s="1"/>
  <c r="C32" i="28"/>
  <c r="C33" i="28" s="1"/>
  <c r="C34" i="28" s="1"/>
  <c r="C35" i="28" s="1"/>
  <c r="C36" i="28" s="1"/>
  <c r="C37" i="28" s="1"/>
  <c r="C38" i="28" s="1"/>
  <c r="D22" i="28" l="1"/>
  <c r="C239" i="29" l="1"/>
  <c r="D239" i="29" s="1"/>
  <c r="M201" i="29"/>
  <c r="M200" i="29"/>
  <c r="M199" i="29"/>
  <c r="M198" i="29"/>
  <c r="M194" i="29"/>
  <c r="M191" i="29"/>
  <c r="M190" i="29"/>
  <c r="M189" i="29"/>
  <c r="M188" i="29"/>
  <c r="M187" i="29"/>
  <c r="M183" i="29"/>
  <c r="M179" i="29"/>
  <c r="M178" i="29"/>
  <c r="M177" i="29"/>
  <c r="M176" i="29"/>
  <c r="M175" i="29"/>
  <c r="M171" i="29"/>
  <c r="M168" i="29"/>
  <c r="M167" i="29"/>
  <c r="M166" i="29"/>
  <c r="M165" i="29"/>
  <c r="M163" i="29"/>
  <c r="M162" i="29"/>
  <c r="M161" i="29"/>
  <c r="M160" i="29"/>
  <c r="M159" i="29"/>
  <c r="M158" i="29"/>
  <c r="M157" i="29"/>
  <c r="M156" i="29"/>
  <c r="M155" i="29"/>
  <c r="M151" i="29"/>
  <c r="M147" i="29"/>
  <c r="M146" i="29"/>
  <c r="M143" i="29"/>
  <c r="M142" i="29"/>
  <c r="M141" i="29"/>
  <c r="M140" i="29"/>
  <c r="M139" i="29"/>
  <c r="M138" i="29"/>
  <c r="M137" i="29"/>
  <c r="M136" i="29"/>
  <c r="M134" i="29"/>
  <c r="M131" i="29"/>
  <c r="M128" i="29"/>
  <c r="M127" i="29"/>
  <c r="M126" i="29"/>
  <c r="M122" i="29"/>
  <c r="M121" i="29"/>
  <c r="M120" i="29"/>
  <c r="M118" i="29"/>
  <c r="M115" i="29"/>
  <c r="M112" i="29"/>
  <c r="M109" i="29"/>
  <c r="M105" i="29"/>
  <c r="M104" i="29"/>
  <c r="M100" i="29"/>
  <c r="M94" i="29"/>
  <c r="M93" i="29"/>
  <c r="M92" i="29"/>
  <c r="M90" i="29"/>
  <c r="M89" i="29"/>
  <c r="M88" i="29"/>
  <c r="M87" i="29"/>
  <c r="M86" i="29"/>
  <c r="M85" i="29"/>
  <c r="M84" i="29"/>
  <c r="M83" i="29"/>
  <c r="M82" i="29"/>
  <c r="M79" i="29"/>
  <c r="M75" i="29"/>
  <c r="M74" i="29"/>
  <c r="M73" i="29"/>
  <c r="M72" i="29"/>
  <c r="M71" i="29"/>
  <c r="M70" i="29"/>
  <c r="M67" i="29"/>
  <c r="M64" i="29"/>
  <c r="M63" i="29"/>
  <c r="M62" i="29"/>
  <c r="M61" i="29"/>
  <c r="M60" i="29"/>
  <c r="M59" i="29"/>
  <c r="M56" i="29"/>
  <c r="M53" i="29"/>
  <c r="M52" i="29"/>
  <c r="M51" i="29"/>
  <c r="M50" i="29"/>
  <c r="M49" i="29"/>
  <c r="M48" i="29"/>
  <c r="M47" i="29"/>
  <c r="M44" i="29"/>
  <c r="M41" i="29"/>
  <c r="M40" i="29"/>
  <c r="M39" i="29"/>
  <c r="M38" i="29"/>
  <c r="M37" i="29"/>
  <c r="M34" i="29"/>
  <c r="M31" i="29"/>
  <c r="M30" i="29"/>
  <c r="M28" i="29"/>
  <c r="M27" i="29"/>
  <c r="M26" i="29"/>
  <c r="M25" i="29"/>
  <c r="M24" i="29"/>
  <c r="L196" i="29"/>
  <c r="L195" i="29"/>
  <c r="L193" i="29"/>
  <c r="L192" i="29"/>
  <c r="L185" i="29"/>
  <c r="L184" i="29"/>
  <c r="L182" i="29"/>
  <c r="L181" i="29"/>
  <c r="L180" i="29"/>
  <c r="L173" i="29"/>
  <c r="L172" i="29"/>
  <c r="L170" i="29"/>
  <c r="L169" i="29"/>
  <c r="L153" i="29"/>
  <c r="L152" i="29"/>
  <c r="L150" i="29"/>
  <c r="L149" i="29"/>
  <c r="L133" i="29"/>
  <c r="L132" i="29"/>
  <c r="L130" i="29"/>
  <c r="L129" i="29"/>
  <c r="L111" i="29"/>
  <c r="L110" i="29"/>
  <c r="L108" i="29"/>
  <c r="L107" i="29"/>
  <c r="L81" i="29"/>
  <c r="L80" i="29"/>
  <c r="L78" i="29"/>
  <c r="L77" i="29"/>
  <c r="L69" i="29"/>
  <c r="L68" i="29"/>
  <c r="L66" i="29"/>
  <c r="L65" i="29"/>
  <c r="L58" i="29"/>
  <c r="L57" i="29"/>
  <c r="L55" i="29"/>
  <c r="L54" i="29"/>
  <c r="L46" i="29"/>
  <c r="L45" i="29"/>
  <c r="L43" i="29"/>
  <c r="L42" i="29"/>
  <c r="L36" i="29"/>
  <c r="L35" i="29"/>
  <c r="L33" i="29"/>
  <c r="L32" i="29"/>
  <c r="K164" i="29"/>
  <c r="K148" i="29"/>
  <c r="K145" i="29"/>
  <c r="K144" i="29"/>
  <c r="K125" i="29"/>
  <c r="K124" i="29"/>
  <c r="K123" i="29"/>
  <c r="K119" i="29"/>
  <c r="K117" i="29"/>
  <c r="K116" i="29"/>
  <c r="K114" i="29"/>
  <c r="K113" i="29"/>
  <c r="K106" i="29"/>
  <c r="K103" i="29"/>
  <c r="K102" i="29"/>
  <c r="K101" i="29"/>
  <c r="K99" i="29"/>
  <c r="K98" i="29"/>
  <c r="K97" i="29"/>
  <c r="K96" i="29"/>
  <c r="K95" i="29"/>
  <c r="K91" i="29"/>
  <c r="K29" i="29"/>
  <c r="J76" i="29"/>
  <c r="J23" i="29"/>
  <c r="J228" i="29" l="1"/>
  <c r="J233" i="29" s="1"/>
  <c r="D7" i="38" s="1"/>
  <c r="E7" i="38" s="1"/>
  <c r="C8" i="30"/>
  <c r="D8" i="30" s="1"/>
  <c r="E8" i="30" s="1"/>
  <c r="M228" i="29"/>
  <c r="M233" i="29" s="1"/>
  <c r="C16" i="30" s="1"/>
  <c r="D16" i="30" s="1"/>
  <c r="E16" i="30" s="1"/>
  <c r="K233" i="29"/>
  <c r="C10" i="30" s="1"/>
  <c r="D10" i="30" s="1"/>
  <c r="E10" i="30" s="1"/>
  <c r="L228" i="29"/>
  <c r="L233" i="29" s="1"/>
  <c r="C12" i="30" s="1"/>
  <c r="D12" i="30" s="1"/>
  <c r="E12" i="30" s="1"/>
  <c r="M199" i="1"/>
  <c r="M200" i="1"/>
  <c r="M201" i="1"/>
  <c r="M193" i="1"/>
  <c r="M194" i="1"/>
  <c r="M195" i="1"/>
  <c r="M196" i="1"/>
  <c r="M183" i="1"/>
  <c r="F14" i="11" s="1"/>
  <c r="I181" i="1"/>
  <c r="M182" i="1"/>
  <c r="M184" i="1"/>
  <c r="M185" i="1"/>
  <c r="M186" i="1"/>
  <c r="M187" i="1"/>
  <c r="M188" i="1"/>
  <c r="F19" i="11" s="1"/>
  <c r="M189" i="1"/>
  <c r="M190" i="1"/>
  <c r="M191" i="1"/>
  <c r="M192" i="1"/>
  <c r="M197" i="1"/>
  <c r="M198" i="1"/>
  <c r="M202" i="1"/>
  <c r="F38" i="11" s="1"/>
  <c r="M203" i="1"/>
  <c r="F9" i="11"/>
  <c r="D10" i="39" s="1"/>
  <c r="E10" i="39" s="1"/>
  <c r="H34" i="18"/>
  <c r="K32" i="18"/>
  <c r="H31" i="18"/>
  <c r="H32" i="18"/>
  <c r="H33" i="18"/>
  <c r="H35" i="18"/>
  <c r="M165" i="1"/>
  <c r="M166" i="1"/>
  <c r="M167" i="1"/>
  <c r="M168" i="1"/>
  <c r="M169" i="1"/>
  <c r="M170" i="1"/>
  <c r="M171" i="1"/>
  <c r="M172" i="1"/>
  <c r="M173" i="1"/>
  <c r="M174" i="1"/>
  <c r="M164" i="1"/>
  <c r="L229" i="1"/>
  <c r="L233" i="1" s="1"/>
  <c r="F322" i="17"/>
  <c r="L318" i="17"/>
  <c r="L277" i="17"/>
  <c r="L278" i="17"/>
  <c r="L279" i="17"/>
  <c r="L280" i="17"/>
  <c r="L281" i="17"/>
  <c r="L282" i="17"/>
  <c r="L283" i="17"/>
  <c r="L284" i="17"/>
  <c r="L28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276" i="17"/>
  <c r="K312" i="17"/>
  <c r="K313" i="17"/>
  <c r="K314" i="17"/>
  <c r="K315" i="17"/>
  <c r="K316" i="17"/>
  <c r="K317" i="17"/>
  <c r="K295" i="17"/>
  <c r="K297" i="17"/>
  <c r="K298" i="17"/>
  <c r="K299" i="17"/>
  <c r="K300" i="17"/>
  <c r="K301" i="17"/>
  <c r="K302" i="17"/>
  <c r="K303" i="17"/>
  <c r="K304" i="17"/>
  <c r="K305" i="17"/>
  <c r="K306" i="17"/>
  <c r="K307" i="17"/>
  <c r="K308" i="17"/>
  <c r="K309" i="17"/>
  <c r="K310" i="17"/>
  <c r="K311" i="17"/>
  <c r="K296" i="17"/>
  <c r="K277" i="17"/>
  <c r="K278" i="17"/>
  <c r="K279" i="17"/>
  <c r="K280" i="17"/>
  <c r="K318" i="17" s="1"/>
  <c r="K281" i="17"/>
  <c r="K282" i="17"/>
  <c r="K283" i="17"/>
  <c r="K284" i="17"/>
  <c r="K285" i="17"/>
  <c r="K286" i="17"/>
  <c r="K287" i="17"/>
  <c r="K288" i="17"/>
  <c r="K289" i="17"/>
  <c r="K290" i="17"/>
  <c r="K291" i="17"/>
  <c r="K292" i="17"/>
  <c r="K293" i="17"/>
  <c r="K294" i="17"/>
  <c r="K276" i="17"/>
  <c r="G320" i="17"/>
  <c r="F320" i="17"/>
  <c r="K181" i="1" l="1"/>
  <c r="M181" i="1" s="1"/>
  <c r="O233" i="29"/>
  <c r="L32" i="18"/>
  <c r="F8" i="11"/>
  <c r="D9" i="39" s="1"/>
  <c r="E9" i="39" s="1"/>
  <c r="M151" i="1" l="1"/>
  <c r="M152" i="1"/>
  <c r="M153" i="1"/>
  <c r="M154" i="1"/>
  <c r="M155" i="1"/>
  <c r="M156" i="1"/>
  <c r="M157" i="1"/>
  <c r="M158" i="1"/>
  <c r="M159" i="1"/>
  <c r="M160" i="1"/>
  <c r="M161" i="1"/>
  <c r="M162" i="1"/>
  <c r="F33" i="11" s="1"/>
  <c r="M163" i="1"/>
  <c r="F44" i="11" s="1"/>
  <c r="D16" i="42" s="1"/>
  <c r="E16" i="42" s="1"/>
  <c r="M175" i="1"/>
  <c r="M176" i="1"/>
  <c r="M177" i="1"/>
  <c r="M178" i="1"/>
  <c r="M179" i="1"/>
  <c r="F34" i="11" s="1"/>
  <c r="M180" i="1"/>
  <c r="M150" i="1"/>
  <c r="I229" i="1"/>
  <c r="J229" i="1"/>
  <c r="H229" i="1"/>
  <c r="F6" i="11"/>
  <c r="D7" i="39" s="1"/>
  <c r="M145" i="1"/>
  <c r="M146" i="1"/>
  <c r="D19" i="42" l="1"/>
  <c r="E19" i="42" s="1"/>
  <c r="E7" i="39"/>
  <c r="D11" i="39"/>
  <c r="E11" i="39" s="1"/>
  <c r="M135" i="1" l="1"/>
  <c r="M130" i="1" l="1"/>
  <c r="M131" i="1"/>
  <c r="M132" i="1"/>
  <c r="M133" i="1"/>
  <c r="M134" i="1"/>
  <c r="M136" i="1"/>
  <c r="F16" i="11" s="1"/>
  <c r="D8" i="41" s="1"/>
  <c r="M137" i="1"/>
  <c r="M138" i="1"/>
  <c r="M139" i="1"/>
  <c r="M140" i="1"/>
  <c r="M141" i="1"/>
  <c r="M142" i="1"/>
  <c r="M143" i="1"/>
  <c r="M144" i="1"/>
  <c r="M147" i="1"/>
  <c r="M148" i="1"/>
  <c r="M108" i="1"/>
  <c r="M109" i="1"/>
  <c r="M110" i="1"/>
  <c r="M111" i="1"/>
  <c r="M112" i="1"/>
  <c r="M113" i="1"/>
  <c r="M114" i="1"/>
  <c r="M115" i="1"/>
  <c r="M116" i="1"/>
  <c r="M117" i="1"/>
  <c r="M118" i="1"/>
  <c r="M119" i="1"/>
  <c r="M120" i="1"/>
  <c r="M121" i="1"/>
  <c r="M122" i="1"/>
  <c r="M123" i="1"/>
  <c r="M124" i="1"/>
  <c r="M125" i="1"/>
  <c r="M126" i="1"/>
  <c r="M127" i="1"/>
  <c r="M128" i="1"/>
  <c r="M129" i="1"/>
  <c r="M89" i="1"/>
  <c r="M90" i="1"/>
  <c r="M91" i="1"/>
  <c r="F23" i="11" s="1"/>
  <c r="M92" i="1"/>
  <c r="M93" i="1"/>
  <c r="M94" i="1"/>
  <c r="M95" i="1"/>
  <c r="M96" i="1"/>
  <c r="M97" i="1"/>
  <c r="M98" i="1"/>
  <c r="M99" i="1"/>
  <c r="M100" i="1"/>
  <c r="M101" i="1"/>
  <c r="F18" i="11" s="1"/>
  <c r="M102" i="1"/>
  <c r="M103" i="1"/>
  <c r="M88" i="1"/>
  <c r="F31" i="11" l="1"/>
  <c r="F36" i="11"/>
  <c r="F29" i="11"/>
  <c r="M77" i="1"/>
  <c r="M78" i="1"/>
  <c r="M79" i="1"/>
  <c r="M80" i="1"/>
  <c r="M81" i="1"/>
  <c r="M82" i="1"/>
  <c r="M83" i="1"/>
  <c r="M84" i="1"/>
  <c r="M85" i="1"/>
  <c r="M86" i="1"/>
  <c r="M87" i="1"/>
  <c r="F22" i="11" s="1"/>
  <c r="D14" i="42" s="1"/>
  <c r="E14" i="42" s="1"/>
  <c r="M104" i="1"/>
  <c r="M105" i="1"/>
  <c r="M106" i="1"/>
  <c r="M107" i="1"/>
  <c r="F41" i="18"/>
  <c r="G41" i="18"/>
  <c r="E41" i="18"/>
  <c r="H30" i="18" l="1"/>
  <c r="H29" i="18"/>
  <c r="H28" i="18"/>
  <c r="K28" i="18" l="1"/>
  <c r="L28" i="18" s="1"/>
  <c r="M71" i="1"/>
  <c r="M72" i="1"/>
  <c r="M73" i="1"/>
  <c r="F27" i="11" s="1"/>
  <c r="D8" i="42" s="1"/>
  <c r="E8" i="42" s="1"/>
  <c r="M74" i="1"/>
  <c r="M75" i="1"/>
  <c r="F25" i="11" s="1"/>
  <c r="M56" i="1" l="1"/>
  <c r="M57" i="1"/>
  <c r="M58" i="1"/>
  <c r="M59" i="1"/>
  <c r="M60" i="1"/>
  <c r="M61" i="1"/>
  <c r="M62" i="1"/>
  <c r="M63" i="1"/>
  <c r="M64" i="1"/>
  <c r="M65" i="1"/>
  <c r="M66" i="1"/>
  <c r="M67" i="1"/>
  <c r="M68" i="1"/>
  <c r="M69" i="1"/>
  <c r="M55" i="1"/>
  <c r="M43" i="1"/>
  <c r="M44" i="1"/>
  <c r="M45" i="1"/>
  <c r="M46" i="1"/>
  <c r="M47" i="1"/>
  <c r="M48" i="1"/>
  <c r="M36" i="1" l="1"/>
  <c r="M37" i="1"/>
  <c r="M38" i="1"/>
  <c r="M39" i="1"/>
  <c r="M40" i="1"/>
  <c r="M41" i="1"/>
  <c r="M42" i="1"/>
  <c r="M49" i="1"/>
  <c r="M50" i="1"/>
  <c r="M51" i="1"/>
  <c r="F39" i="11" s="1"/>
  <c r="M52" i="1"/>
  <c r="M53" i="1"/>
  <c r="M54" i="1"/>
  <c r="M70" i="1"/>
  <c r="M76" i="1"/>
  <c r="G6" i="11"/>
  <c r="G7" i="11"/>
  <c r="G8" i="11"/>
  <c r="G5" i="11"/>
  <c r="E63" i="11"/>
  <c r="E49" i="11"/>
  <c r="G16" i="11"/>
  <c r="F30" i="11" l="1"/>
  <c r="D11" i="42" s="1"/>
  <c r="E11" i="42" s="1"/>
  <c r="F15" i="11"/>
  <c r="D9" i="41" s="1"/>
  <c r="E9" i="41" s="1"/>
  <c r="F41" i="11"/>
  <c r="D13" i="42" s="1"/>
  <c r="E13" i="42" s="1"/>
  <c r="P6" i="1"/>
  <c r="P7" i="1" s="1"/>
  <c r="P8" i="1" s="1"/>
  <c r="P9" i="1" s="1"/>
  <c r="P10" i="1" s="1"/>
  <c r="P11" i="1" s="1"/>
  <c r="P12" i="1" s="1"/>
  <c r="P13" i="1" s="1"/>
  <c r="P14" i="1" s="1"/>
  <c r="P15" i="1" s="1"/>
  <c r="P16" i="1" s="1"/>
  <c r="P17" i="1" s="1"/>
  <c r="P18" i="1" s="1"/>
  <c r="P19" i="1" s="1"/>
  <c r="P20" i="1" s="1"/>
  <c r="P21" i="1" s="1"/>
  <c r="P22" i="1" s="1"/>
  <c r="P23" i="1" s="1"/>
  <c r="K17" i="1"/>
  <c r="M17" i="1" s="1"/>
  <c r="K18" i="1"/>
  <c r="M18" i="1" s="1"/>
  <c r="K19" i="1"/>
  <c r="M19" i="1" s="1"/>
  <c r="K20" i="1"/>
  <c r="M20" i="1" s="1"/>
  <c r="K21" i="1"/>
  <c r="M21" i="1" s="1"/>
  <c r="K22" i="1"/>
  <c r="M22" i="1" s="1"/>
  <c r="K6" i="1"/>
  <c r="M6" i="1" s="1"/>
  <c r="K7" i="1"/>
  <c r="M7" i="1" s="1"/>
  <c r="K8" i="1"/>
  <c r="M8" i="1" s="1"/>
  <c r="K9" i="1"/>
  <c r="M9" i="1" s="1"/>
  <c r="K10" i="1"/>
  <c r="M10" i="1" s="1"/>
  <c r="K11" i="1"/>
  <c r="M11" i="1" s="1"/>
  <c r="K12" i="1"/>
  <c r="M12" i="1" s="1"/>
  <c r="K13" i="1"/>
  <c r="M13" i="1" s="1"/>
  <c r="M28" i="1"/>
  <c r="F21" i="11" s="1"/>
  <c r="G272" i="17"/>
  <c r="P24" i="1" l="1"/>
  <c r="P25" i="1" s="1"/>
  <c r="P26" i="1" s="1"/>
  <c r="P27" i="1" s="1"/>
  <c r="P28" i="1" s="1"/>
  <c r="P29" i="1" s="1"/>
  <c r="P30" i="1" s="1"/>
  <c r="P31" i="1" s="1"/>
  <c r="P32" i="1" s="1"/>
  <c r="P33" i="1" s="1"/>
  <c r="P34" i="1" s="1"/>
  <c r="P35" i="1" s="1"/>
  <c r="P36" i="1" s="1"/>
  <c r="P37" i="1" s="1"/>
  <c r="P38" i="1" s="1"/>
  <c r="P39" i="1" s="1"/>
  <c r="P40" i="1" s="1"/>
  <c r="P41" i="1" s="1"/>
  <c r="P42" i="1" s="1"/>
  <c r="P43" i="1" s="1"/>
  <c r="P44" i="1" s="1"/>
  <c r="P45" i="1" s="1"/>
  <c r="P46" i="1" s="1"/>
  <c r="P47" i="1" s="1"/>
  <c r="P48" i="1" s="1"/>
  <c r="P49" i="1" s="1"/>
  <c r="P50" i="1" s="1"/>
  <c r="P51" i="1" s="1"/>
  <c r="P52" i="1" s="1"/>
  <c r="P53" i="1" s="1"/>
  <c r="P54" i="1" s="1"/>
  <c r="O232" i="29"/>
  <c r="C28" i="28"/>
  <c r="C29" i="28" s="1"/>
  <c r="C30" i="28" s="1"/>
  <c r="C31" i="28" s="1"/>
  <c r="O234" i="29" l="1"/>
  <c r="C6" i="30"/>
  <c r="P55" i="1"/>
  <c r="P56" i="1" s="1"/>
  <c r="P57" i="1" s="1"/>
  <c r="P58" i="1" s="1"/>
  <c r="P59" i="1" s="1"/>
  <c r="P60" i="1" s="1"/>
  <c r="P61" i="1" s="1"/>
  <c r="P62" i="1" s="1"/>
  <c r="P63" i="1" s="1"/>
  <c r="P64" i="1" s="1"/>
  <c r="P65" i="1" s="1"/>
  <c r="P66" i="1" s="1"/>
  <c r="P67" i="1" s="1"/>
  <c r="P68" i="1" s="1"/>
  <c r="P69" i="1" s="1"/>
  <c r="P70" i="1" s="1"/>
  <c r="K24" i="1"/>
  <c r="D6" i="30" l="1"/>
  <c r="E6" i="30" s="1"/>
  <c r="D235" i="29"/>
  <c r="C18" i="30"/>
  <c r="D18" i="30" s="1"/>
  <c r="E18" i="30" s="1"/>
  <c r="M24" i="1"/>
  <c r="P71" i="1"/>
  <c r="P72" i="1" s="1"/>
  <c r="P73" i="1" s="1"/>
  <c r="P74" i="1" s="1"/>
  <c r="P75" i="1" s="1"/>
  <c r="P76" i="1" s="1"/>
  <c r="D15" i="28"/>
  <c r="D17" i="28"/>
  <c r="D39" i="28"/>
  <c r="E39" i="28"/>
  <c r="D253" i="29" l="1"/>
  <c r="F254" i="29" s="1"/>
  <c r="D3" i="43"/>
  <c r="D18" i="43" s="1"/>
  <c r="P77" i="1"/>
  <c r="P78" i="1" s="1"/>
  <c r="P79" i="1" s="1"/>
  <c r="P80" i="1" s="1"/>
  <c r="P81" i="1" s="1"/>
  <c r="P82" i="1" s="1"/>
  <c r="P83" i="1" s="1"/>
  <c r="P84" i="1" s="1"/>
  <c r="P85" i="1" s="1"/>
  <c r="P86" i="1" s="1"/>
  <c r="P87" i="1" s="1"/>
  <c r="F39" i="28"/>
  <c r="D24" i="28"/>
  <c r="D20" i="43" s="1"/>
  <c r="C20" i="30" l="1"/>
  <c r="D20" i="30" s="1"/>
  <c r="E20" i="30" s="1"/>
  <c r="P88" i="1"/>
  <c r="P89" i="1" s="1"/>
  <c r="P90" i="1" s="1"/>
  <c r="P91" i="1" s="1"/>
  <c r="P92" i="1" s="1"/>
  <c r="P93" i="1" s="1"/>
  <c r="P94" i="1" s="1"/>
  <c r="P95" i="1" s="1"/>
  <c r="P96" i="1" s="1"/>
  <c r="P97" i="1" s="1"/>
  <c r="P98" i="1" s="1"/>
  <c r="P99" i="1" s="1"/>
  <c r="P100" i="1" s="1"/>
  <c r="P101" i="1" s="1"/>
  <c r="P102" i="1" s="1"/>
  <c r="P103" i="1" s="1"/>
  <c r="P104" i="1" s="1"/>
  <c r="P105" i="1" s="1"/>
  <c r="P106" i="1" s="1"/>
  <c r="P107" i="1" s="1"/>
  <c r="P108" i="1" s="1"/>
  <c r="P109" i="1" s="1"/>
  <c r="P110" i="1" s="1"/>
  <c r="P111" i="1" s="1"/>
  <c r="P112" i="1" s="1"/>
  <c r="P113" i="1" s="1"/>
  <c r="P114" i="1" s="1"/>
  <c r="P115" i="1" s="1"/>
  <c r="P116" i="1" s="1"/>
  <c r="P117" i="1" s="1"/>
  <c r="P118" i="1" s="1"/>
  <c r="P119" i="1" s="1"/>
  <c r="P120" i="1" s="1"/>
  <c r="P121" i="1" s="1"/>
  <c r="P122" i="1" s="1"/>
  <c r="P123" i="1" s="1"/>
  <c r="P124" i="1" s="1"/>
  <c r="P125" i="1" s="1"/>
  <c r="P126" i="1" s="1"/>
  <c r="P127" i="1" s="1"/>
  <c r="P128" i="1" s="1"/>
  <c r="P129" i="1" s="1"/>
  <c r="P130" i="1" s="1"/>
  <c r="P131" i="1" s="1"/>
  <c r="P132" i="1" s="1"/>
  <c r="P133" i="1" s="1"/>
  <c r="M26" i="1"/>
  <c r="F45" i="11" s="1"/>
  <c r="M27" i="1"/>
  <c r="F46" i="11" s="1"/>
  <c r="M29" i="1"/>
  <c r="F24" i="11" s="1"/>
  <c r="M30" i="1"/>
  <c r="H24" i="18"/>
  <c r="H25" i="18"/>
  <c r="H26" i="18"/>
  <c r="H27" i="18"/>
  <c r="M31" i="1"/>
  <c r="D21" i="42"/>
  <c r="E21" i="42" s="1"/>
  <c r="M33" i="1"/>
  <c r="M34" i="1"/>
  <c r="H22" i="18"/>
  <c r="H23" i="18"/>
  <c r="M35" i="1"/>
  <c r="F17" i="11" s="1"/>
  <c r="D10" i="42" s="1"/>
  <c r="E10" i="42" s="1"/>
  <c r="M32" i="1" l="1"/>
  <c r="F20" i="11" s="1"/>
  <c r="D15" i="42" s="1"/>
  <c r="E15" i="42" s="1"/>
  <c r="D7" i="42"/>
  <c r="E7" i="42" s="1"/>
  <c r="F47" i="11"/>
  <c r="D20" i="42" s="1"/>
  <c r="E20" i="42" s="1"/>
  <c r="F13" i="11"/>
  <c r="D7" i="41" s="1"/>
  <c r="K24" i="18"/>
  <c r="L24" i="18" s="1"/>
  <c r="K229" i="1"/>
  <c r="K231" i="1" s="1"/>
  <c r="P134" i="1"/>
  <c r="P135" i="1" s="1"/>
  <c r="P136" i="1" s="1"/>
  <c r="P137" i="1" s="1"/>
  <c r="P138" i="1" s="1"/>
  <c r="P139" i="1" s="1"/>
  <c r="P140" i="1" s="1"/>
  <c r="P141" i="1" s="1"/>
  <c r="P142" i="1" s="1"/>
  <c r="P143" i="1" s="1"/>
  <c r="P144" i="1" s="1"/>
  <c r="P145" i="1" s="1"/>
  <c r="P146" i="1" s="1"/>
  <c r="P147" i="1" s="1"/>
  <c r="G46" i="11"/>
  <c r="I46" i="11"/>
  <c r="M25" i="1"/>
  <c r="F32" i="11" s="1"/>
  <c r="I21" i="11"/>
  <c r="H6" i="18"/>
  <c r="H7" i="18"/>
  <c r="H8" i="18"/>
  <c r="H9" i="18"/>
  <c r="H10" i="18"/>
  <c r="H11" i="18"/>
  <c r="H12" i="18"/>
  <c r="H13" i="18"/>
  <c r="H14" i="18"/>
  <c r="H15" i="18"/>
  <c r="H16" i="18"/>
  <c r="H17" i="18"/>
  <c r="H18" i="18"/>
  <c r="H19" i="18"/>
  <c r="H20" i="18"/>
  <c r="H21" i="18"/>
  <c r="H5" i="18"/>
  <c r="G252" i="17"/>
  <c r="I47" i="11" l="1"/>
  <c r="D18" i="42"/>
  <c r="E18" i="42" s="1"/>
  <c r="G45" i="11"/>
  <c r="E7" i="41"/>
  <c r="E10" i="41" s="1"/>
  <c r="D10" i="41"/>
  <c r="K10" i="18"/>
  <c r="L10" i="18" s="1"/>
  <c r="K17" i="18"/>
  <c r="L17" i="18" s="1"/>
  <c r="K14" i="18"/>
  <c r="L14" i="18" s="1"/>
  <c r="K6" i="18"/>
  <c r="L6" i="18" s="1"/>
  <c r="H41" i="18"/>
  <c r="K41" i="18" s="1"/>
  <c r="P148" i="1"/>
  <c r="P149" i="1" s="1"/>
  <c r="P150" i="1" s="1"/>
  <c r="P151" i="1" s="1"/>
  <c r="P152" i="1" s="1"/>
  <c r="P153" i="1" s="1"/>
  <c r="P154" i="1" s="1"/>
  <c r="P155" i="1" s="1"/>
  <c r="P156" i="1" s="1"/>
  <c r="P157" i="1" s="1"/>
  <c r="P158" i="1" s="1"/>
  <c r="P159" i="1" s="1"/>
  <c r="P160" i="1" s="1"/>
  <c r="P161" i="1" s="1"/>
  <c r="P162" i="1" s="1"/>
  <c r="P163" i="1" s="1"/>
  <c r="M229" i="1"/>
  <c r="G47" i="11"/>
  <c r="D23" i="42" l="1"/>
  <c r="E23" i="42"/>
  <c r="P164" i="1"/>
  <c r="P165" i="1" s="1"/>
  <c r="P166" i="1" s="1"/>
  <c r="P167" i="1" s="1"/>
  <c r="P168" i="1" s="1"/>
  <c r="P169" i="1" s="1"/>
  <c r="P170" i="1" s="1"/>
  <c r="P171" i="1" s="1"/>
  <c r="P172" i="1" s="1"/>
  <c r="P173" i="1" s="1"/>
  <c r="P174" i="1" s="1"/>
  <c r="P175" i="1" s="1"/>
  <c r="P176" i="1" s="1"/>
  <c r="P177" i="1" s="1"/>
  <c r="P178" i="1" s="1"/>
  <c r="P179" i="1" s="1"/>
  <c r="P180" i="1" s="1"/>
  <c r="P181" i="1" s="1"/>
  <c r="P182" i="1" s="1"/>
  <c r="L41" i="18"/>
  <c r="G30" i="11"/>
  <c r="P183" i="1" l="1"/>
  <c r="P184" i="1" s="1"/>
  <c r="P185" i="1" s="1"/>
  <c r="P186" i="1" s="1"/>
  <c r="P187" i="1" s="1"/>
  <c r="P188" i="1" s="1"/>
  <c r="P189" i="1" s="1"/>
  <c r="P190" i="1" s="1"/>
  <c r="P191" i="1" s="1"/>
  <c r="P192" i="1" s="1"/>
  <c r="P193" i="1" s="1"/>
  <c r="P194" i="1" s="1"/>
  <c r="P195" i="1" s="1"/>
  <c r="P196" i="1" s="1"/>
  <c r="P197" i="1" s="1"/>
  <c r="P198" i="1" s="1"/>
  <c r="P199" i="1" s="1"/>
  <c r="P200" i="1" s="1"/>
  <c r="P201" i="1" s="1"/>
  <c r="P202" i="1" s="1"/>
  <c r="P203" i="1" s="1"/>
  <c r="P204" i="1" s="1"/>
  <c r="P205" i="1" s="1"/>
  <c r="P206" i="1" s="1"/>
  <c r="P207" i="1" s="1"/>
  <c r="P208" i="1" s="1"/>
  <c r="P209" i="1" s="1"/>
  <c r="P210" i="1" s="1"/>
  <c r="P211" i="1" s="1"/>
  <c r="P212" i="1" s="1"/>
  <c r="P213" i="1" s="1"/>
  <c r="P214" i="1" s="1"/>
  <c r="P215" i="1" s="1"/>
  <c r="P216" i="1" s="1"/>
  <c r="P217" i="1" s="1"/>
  <c r="P218" i="1" s="1"/>
  <c r="P219" i="1" s="1"/>
  <c r="P220" i="1" s="1"/>
  <c r="P221" i="1" s="1"/>
  <c r="P222" i="1" s="1"/>
  <c r="P228" i="1" s="1"/>
  <c r="G17" i="11"/>
  <c r="K14" i="1" l="1"/>
  <c r="M14" i="1" s="1"/>
  <c r="K15" i="1"/>
  <c r="M15" i="1" s="1"/>
  <c r="K16" i="1"/>
  <c r="M16" i="1" s="1"/>
  <c r="I53" i="11"/>
  <c r="G31" i="11" l="1"/>
  <c r="F49" i="11" l="1"/>
  <c r="F212" i="17"/>
  <c r="G212" i="17"/>
  <c r="G9" i="11" l="1"/>
  <c r="G168" i="17" l="1"/>
  <c r="G18" i="11" l="1"/>
  <c r="G133" i="17" l="1"/>
  <c r="G106" i="17" l="1"/>
  <c r="F106" i="17"/>
  <c r="F98" i="17" l="1"/>
  <c r="G98" i="17"/>
  <c r="I52" i="11" l="1"/>
  <c r="I54" i="11"/>
  <c r="I56" i="11"/>
  <c r="I57" i="11"/>
  <c r="I58" i="11"/>
  <c r="I50" i="11"/>
  <c r="I51" i="11"/>
  <c r="I23" i="11"/>
  <c r="I26" i="11"/>
  <c r="I33" i="11"/>
  <c r="I34" i="11"/>
  <c r="I35" i="11"/>
  <c r="I38" i="11"/>
  <c r="I40" i="11"/>
  <c r="I42" i="11"/>
  <c r="I43" i="11"/>
  <c r="I44" i="11"/>
  <c r="I14" i="11"/>
  <c r="I19" i="11"/>
  <c r="I18" i="11"/>
  <c r="I28" i="11"/>
  <c r="I37" i="11" l="1"/>
  <c r="I36" i="11"/>
  <c r="I22" i="11"/>
  <c r="I25" i="11"/>
  <c r="I29" i="11"/>
  <c r="I20" i="11"/>
  <c r="I27" i="11" l="1"/>
  <c r="I24" i="11" l="1"/>
  <c r="I13" i="11"/>
  <c r="I17" i="11"/>
  <c r="I45" i="11"/>
  <c r="F65" i="11" l="1"/>
  <c r="I32" i="11"/>
  <c r="I15" i="11"/>
  <c r="I39" i="11" l="1"/>
  <c r="G64" i="17"/>
  <c r="G47" i="17" l="1"/>
  <c r="F47" i="17"/>
  <c r="G13" i="17"/>
  <c r="I41" i="11" l="1"/>
  <c r="G29" i="11"/>
  <c r="G35" i="11"/>
  <c r="G28" i="11" l="1"/>
  <c r="G41" i="11" l="1"/>
  <c r="G32" i="11" l="1"/>
  <c r="G27" i="11" l="1"/>
  <c r="F10" i="11" l="1"/>
  <c r="G53" i="11"/>
  <c r="G52" i="11"/>
  <c r="F59" i="11" l="1"/>
  <c r="G54" i="11"/>
  <c r="F55" i="11"/>
  <c r="G19" i="11" l="1"/>
  <c r="G20" i="11"/>
  <c r="G21" i="11"/>
  <c r="G42" i="11"/>
  <c r="G25" i="11"/>
  <c r="G44" i="11"/>
  <c r="G23" i="11"/>
  <c r="G24" i="11"/>
  <c r="G33" i="11"/>
  <c r="G34" i="11"/>
  <c r="G36" i="11"/>
  <c r="G38" i="11"/>
  <c r="G39" i="11"/>
  <c r="E55" i="11"/>
  <c r="I55" i="11" s="1"/>
  <c r="G14" i="11"/>
  <c r="G55" i="11" l="1"/>
  <c r="G37" i="11"/>
  <c r="G40" i="11"/>
  <c r="G22" i="11"/>
  <c r="E10" i="11"/>
  <c r="G15" i="11"/>
  <c r="E59" i="11" l="1"/>
  <c r="G10" i="11"/>
  <c r="E60" i="11"/>
  <c r="E61" i="11" s="1"/>
  <c r="G43" i="11"/>
  <c r="G26" i="11"/>
  <c r="G13" i="11"/>
  <c r="G49" i="11" l="1"/>
  <c r="I49" i="11"/>
  <c r="F60" i="11" l="1"/>
  <c r="F68" i="11" l="1"/>
  <c r="H60" i="11"/>
  <c r="J60" i="11" s="1"/>
  <c r="F61" i="11"/>
  <c r="G60" i="11"/>
  <c r="I60" i="11"/>
  <c r="H72"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tc={0BD08D6E-F742-2848-80BB-634A84E782F5}</author>
  </authors>
  <commentList>
    <comment ref="H24" authorId="0" shapeId="0" xr:uid="{0BD08D6E-F742-2848-80BB-634A84E782F5}">
      <text>
        <t>[Threaded comment]
Your version of Excel allows you to read this threaded comment; however, any edits to it will get removed if the file is opened in a newer version of Excel. Learn more: https://go.microsoft.com/fwlink/?linkid=870924
Comment:
    Allotment Water Supply (Actual reading 23/5/25. Previous Actual 25/1/24) (Charge increased from £1.9706 to £2.7702 /m3 1st April 2025)</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<sst xmlns="http://schemas.openxmlformats.org/spreadsheetml/2006/main" count="3278" uniqueCount="1052">
  <si>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</si>
  <si>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</si>
  <si>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</si>
  <si>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</si>
  <si>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</si>
  <si>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</si>
  <si>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</si>
  <si>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</si>
  <si>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</si>
  <si>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</si>
  <si>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</si>
  <si>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</si>
  <si>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</si>
  <si>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</si>
  <si>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</si>
  <si>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</si>
  <si>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</si>
  <si>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</si>
  <si>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</si>
  <si>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</si>
  <si>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</si>
  <si>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</si>
  <si>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</si>
  <si>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</si>
  <si>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</si>
  <si>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</si>
  <si>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</si>
  <si>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</si>
  <si>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</si>
  <si>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</si>
  <si>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</si>
  <si>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</si>
  <si>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</si>
  <si>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</si>
  <si>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</si>
  <si>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</si>
  <si>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</si>
  <si>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</si>
  <si>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</si>
  <si>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</si>
  <si>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</si>
  <si>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</si>
  <si>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</si>
  <si>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</si>
  <si>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</si>
  <si>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</si>
  <si>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</si>
  <si>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</si>
  <si>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</si>
  <si>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</si>
  <si>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</si>
  <si>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</si>
  <si>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</si>
  <si>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</si>
  <si>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</si>
  <si>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</si>
  <si>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</si>
  <si>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</si>
  <si>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</si>
  <si>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</si>
  <si>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</si>
  <si>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</si>
  <si>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</si>
  <si>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</si>
  <si>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</si>
  <si>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</si>
  <si>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</si>
  <si>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</si>
  <si>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</si>
  <si>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</si>
  <si>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</si>
  <si>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</si>
  <si>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</si>
  <si>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</si>
  <si>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</si>
  <si>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</si>
  <si>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</si>
  <si>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</si>
  <si>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</si>
  <si>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</si>
  <si>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</si>
  <si>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</si>
  <si>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</si>
  <si>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</si>
  <si>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</si>
  <si>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</si>
  <si>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</si>
  <si>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</si>
  <si>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</si>
  <si>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</si>
  <si>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</si>
  <si>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</si>
  <si>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</si>
  <si>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</si>
  <si>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</si>
  <si>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</si>
  <si>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</si>
  <si>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</si>
  <si>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</si>
  <si>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</si>
  <si>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</si>
  <si>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</si>
  <si>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</si>
  <si>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</si>
  <si>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</si>
  <si>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</si>
  <si>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</si>
  <si>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</si>
  <si>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</si>
  <si>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</si>
  <si>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</si>
  <si>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</si>
  <si>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</si>
  <si>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</si>
  <si>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</si>
  <si>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</si>
  <si>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</si>
  <si>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</si>
  <si>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</si>
  <si>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</si>
  <si>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</si>
  <si>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</si>
  <si>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</si>
  <si>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</si>
  <si>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</si>
  <si>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</si>
  <si>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</si>
  <si>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</si>
  <si>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</si>
  <si>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</si>
  <si>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</si>
  <si>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</si>
  <si>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</si>
  <si>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</si>
  <si>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</si>
  <si>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</si>
  <si>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</si>
  <si>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</si>
  <si>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</si>
  <si>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</si>
  <si>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</si>
  <si>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</si>
  <si>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</si>
  <si>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</si>
  <si>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</si>
  <si>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</si>
  <si>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</si>
  <si>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</si>
  <si>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</si>
  <si>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</si>
  <si>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</si>
  <si>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</si>
  <si>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</si>
  <si>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</si>
  <si>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</si>
  <si>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</si>
  <si>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</si>
  <si>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</si>
  <si>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</si>
  <si>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</si>
  <si>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</si>
  <si>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</si>
  <si>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</si>
  <si>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</si>
  <si>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</si>
  <si>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</si>
  <si>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</si>
  <si>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</si>
  <si>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</si>
  <si>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</si>
  <si>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</si>
  <si>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</si>
  <si>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</si>
  <si>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</si>
  <si>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</si>
  <si>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</si>
  <si>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</si>
  <si>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</si>
  <si>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</si>
  <si>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</si>
  <si>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</si>
  <si>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</si>
  <si>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</si>
  <si>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</si>
  <si>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</si>
  <si>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</si>
  <si>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</si>
  <si>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</si>
  <si>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</si>
  <si>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</si>
  <si>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</si>
  <si>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</si>
  <si>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</si>
  <si>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</si>
  <si>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</si>
  <si>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</si>
  <si>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</si>
  <si>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</si>
  <si>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</si>
  <si>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</si>
  <si>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</si>
  <si>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</si>
  <si>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</si>
  <si>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</si>
  <si>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</si>
  <si>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</si>
  <si>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</si>
  <si>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</si>
  <si>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</si>
  <si>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</si>
  <si>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</si>
  <si>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</si>
  <si>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</si>
  <si>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</si>
  <si>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</si>
  <si>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</si>
  <si>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</si>
  <si>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</si>
  <si>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</si>
  <si>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</si>
  <si>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</si>
  <si>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</si>
  <si>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</si>
  <si>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</si>
  <si>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</si>
  <si>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</si>
  <si>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</si>
  <si>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</si>
  <si>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</si>
  <si>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</si>
  <si>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</si>
  <si>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</si>
  <si>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</si>
  <si>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</si>
  <si>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</si>
  <si>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</si>
  <si>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</si>
  <si>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</si>
  <si>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</si>
  <si>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</si>
  <si>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</si>
  <si>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</si>
  <si>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</si>
  <si>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</si>
  <si>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</si>
  <si>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</si>
  <si>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</si>
  <si>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</si>
  <si>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</si>
  <si>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</si>
  <si>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</si>
  <si>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</si>
  <si>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</si>
  <si>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</si>
  <si>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</si>
  <si>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</si>
  <si>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</si>
  <si>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</si>
  <si>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</si>
  <si>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</si>
  <si>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</si>
  <si>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</si>
  <si>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</si>
  <si>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</si>
  <si>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</si>
  <si>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</si>
  <si>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</si>
  <si>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</si>
  <si>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</si>
  <si>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</si>
  <si>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</si>
  <si>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</si>
  <si>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</si>
  <si>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</si>
  <si>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</si>
  <si>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</si>
  <si>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</si>
  <si>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</si>
  <si>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</si>
  <si>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</si>
  <si>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</si>
  <si>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</si>
  <si>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</si>
  <si>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</si>
  <si>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</si>
  <si>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</si>
  <si>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</si>
  <si>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</si>
  <si>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</si>
  <si>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</si>
  <si>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</si>
  <si>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</si>
  <si>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</si>
  <si>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</si>
  <si>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</si>
  <si>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</si>
  <si>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</si>
  <si>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</si>
  <si>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</si>
  <si>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</si>
  <si>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</si>
  <si>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</si>
  <si>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</si>
  <si>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</si>
  <si>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</si>
  <si>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</si>
  <si>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</si>
  <si>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</si>
  <si>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</si>
  <si>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</si>
  <si>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</si>
  <si>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</si>
  <si>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</si>
  <si>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</si>
  <si>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</si>
  <si>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</si>
  <si>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</si>
  <si>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</si>
  <si>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</si>
  <si>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</si>
  <si>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</si>
  <si>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</si>
  <si>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</si>
  <si>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</si>
  <si>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</si>
  <si>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</si>
  <si>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</si>
  <si>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</si>
  <si>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</si>
  <si>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</si>
  <si>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</si>
  <si>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</si>
  <si>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</si>
  <si>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</si>
  <si>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</si>
  <si>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</si>
  <si>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</si>
  <si>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</si>
  <si>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</si>
  <si>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</si>
  <si>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</si>
  <si>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</si>
  <si>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</si>
  <si>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</si>
  <si>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</si>
  <si>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</si>
  <si>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</si>
  <si>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</si>
  <si>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</si>
  <si>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</si>
  <si>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</si>
  <si>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</si>
  <si>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</si>
  <si>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</si>
  <si>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</si>
  <si>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</si>
  <si>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</si>
  <si>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</si>
  <si>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</si>
  <si>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</si>
  <si>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</si>
  <si>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</si>
  <si>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</si>
  <si>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</si>
  <si>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</si>
  <si>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</si>
  <si>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</si>
  <si>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</si>
  <si>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</si>
  <si>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</si>
  <si>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</si>
  <si>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</si>
  <si>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</si>
  <si>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</si>
  <si>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</si>
  <si>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</si>
  <si>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</si>
  <si>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</si>
  <si>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</si>
  <si>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</si>
  <si>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</si>
  <si>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</si>
  <si>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</si>
  <si>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</si>
  <si>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</si>
  <si>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</si>
  <si>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</si>
  <si>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</si>
  <si>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</si>
  <si>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</si>
  <si>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</si>
  <si>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</si>
  <si>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</si>
  <si>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</si>
  <si>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</si>
  <si>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</si>
  <si>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</si>
  <si>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</si>
  <si>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</si>
  <si>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</si>
  <si>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</si>
  <si>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</si>
  <si>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</si>
  <si>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</si>
  <si>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</si>
  <si>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</si>
  <si>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</si>
  <si>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</si>
  <si>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</si>
  <si>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</si>
  <si>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</si>
  <si>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</si>
  <si>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</si>
  <si>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</si>
  <si>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</si>
  <si>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</si>
  <si>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</si>
  <si>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</si>
  <si>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</si>
  <si>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</si>
  <si>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</si>
  <si>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</si>
  <si>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</si>
  <si>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</si>
  <si>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</si>
  <si>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</si>
  <si>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</si>
  <si>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</si>
  <si>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</si>
  <si>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</si>
  <si>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</si>
  <si>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</si>
  <si>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</si>
  <si>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</si>
  <si>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</si>
  <si>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</si>
  <si>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</si>
  <si>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</si>
  <si>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</si>
  <si>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</si>
  <si>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</si>
  <si>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</si>
  <si>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</si>
  <si>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</si>
  <si>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</si>
  <si>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</si>
  <si>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</si>
  <si>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</si>
  <si>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</si>
  <si>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</si>
  <si>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</si>
  <si>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</si>
  <si>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</si>
  <si>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</si>
  <si>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</si>
  <si>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</si>
  <si>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</si>
  <si>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</si>
  <si>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</si>
  <si>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</si>
  <si>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</si>
  <si>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</si>
  <si>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</si>
  <si>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</si>
  <si>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</si>
  <si>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</si>
  <si>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</si>
  <si>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</si>
  <si>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</si>
  <si>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</si>
  <si>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</si>
  <si>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</si>
  <si>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</si>
  <si>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</si>
  <si>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</si>
  <si>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</si>
  <si>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</si>
  <si>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</si>
  <si>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</si>
  <si>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</si>
  <si>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</si>
  <si>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Geoxphere Ltd</t>
  </si>
  <si>
    <t>Parish On Line Annual Fee</t>
  </si>
  <si>
    <t>45UD051-0010</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</si>
  <si>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</si>
  <si>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</si>
  <si>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</si>
  <si>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</si>
  <si>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</si>
  <si>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</si>
  <si>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</si>
  <si>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</si>
  <si>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</si>
  <si>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</si>
  <si>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</si>
  <si>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</si>
  <si>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</si>
  <si>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</si>
  <si>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</si>
  <si>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</si>
  <si>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</si>
  <si>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</si>
  <si>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</si>
  <si>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</si>
  <si>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</si>
  <si>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</si>
  <si>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</si>
  <si>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</si>
  <si>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</si>
  <si>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</si>
  <si>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</si>
  <si>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</si>
  <si>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</si>
  <si>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</si>
  <si>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</si>
  <si>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</si>
  <si>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</si>
  <si>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</si>
  <si>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</si>
  <si>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</si>
  <si>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</si>
  <si>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</si>
  <si>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</si>
  <si>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</si>
  <si>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</si>
  <si>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</si>
  <si>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</si>
  <si>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</si>
  <si>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</si>
  <si>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</si>
  <si>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</si>
  <si>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</si>
  <si>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</si>
  <si>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</si>
  <si>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</si>
  <si>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</si>
  <si>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</si>
  <si>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</si>
  <si>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</si>
  <si>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</si>
  <si>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</si>
  <si>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</si>
  <si>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</si>
  <si>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</si>
  <si>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</si>
  <si>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</si>
  <si>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</si>
  <si>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</si>
  <si>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</si>
  <si>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</si>
  <si>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</si>
  <si>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</si>
  <si>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</si>
  <si>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</si>
  <si>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</si>
  <si>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</si>
  <si>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</si>
  <si>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</si>
  <si>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</si>
  <si>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</si>
  <si>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</si>
  <si>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</si>
  <si>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</si>
  <si>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</si>
  <si>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</si>
  <si>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</si>
  <si>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</si>
  <si>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</si>
  <si>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</si>
  <si>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</si>
  <si>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</si>
  <si>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</si>
  <si>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</si>
  <si>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</si>
  <si>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</si>
  <si>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</si>
  <si>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</si>
  <si>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</si>
  <si>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</si>
  <si>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</si>
  <si>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</si>
  <si>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</si>
  <si>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</si>
  <si>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</si>
  <si>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</si>
  <si>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</si>
  <si>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</si>
  <si>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</si>
  <si>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</si>
  <si>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</si>
  <si>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</si>
  <si>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</si>
  <si>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</si>
  <si>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</si>
  <si>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</si>
  <si>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</si>
  <si>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</si>
  <si>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</si>
  <si>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</si>
  <si>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</si>
  <si>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</si>
  <si>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Lloyds Current Account</t>
  </si>
  <si>
    <t>BANK RECONCILIATION</t>
  </si>
  <si>
    <t>STEDHAM WITH IPING PARISH COUNCIL</t>
  </si>
  <si>
    <t>Precept 2025-26 1st Installment</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</si>
  <si>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</si>
  <si>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</si>
  <si>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</si>
  <si>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</si>
  <si>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</si>
  <si>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</si>
  <si>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</si>
  <si>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</si>
  <si>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</si>
  <si>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</si>
  <si>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</si>
  <si>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</si>
  <si>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</si>
  <si>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</si>
  <si>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</si>
  <si>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</si>
  <si>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</si>
  <si>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</si>
  <si>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</si>
  <si>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</si>
  <si>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</si>
  <si>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</si>
  <si>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</si>
  <si>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</si>
  <si>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</si>
  <si>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</si>
  <si>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</si>
  <si>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</si>
  <si>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</si>
  <si>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</si>
  <si>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</si>
  <si>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HMRC(Tax Mnth 3 2025-26)</t>
  </si>
  <si>
    <t>Morag Birch(Tax Mnth 3 2025-26)</t>
  </si>
  <si>
    <t>HMRC(Tax Mnth  3 2025-26)</t>
  </si>
  <si>
    <t>Clerk: May Pay</t>
  </si>
  <si>
    <t>Clerk: May Expense</t>
  </si>
  <si>
    <t>RFO: May Pay</t>
  </si>
  <si>
    <t>Grass Cut May 2025</t>
  </si>
  <si>
    <t>New PC Register</t>
  </si>
  <si>
    <t>Ralph Restorations</t>
  </si>
  <si>
    <t>Iping Phone Box Refurbishment</t>
  </si>
  <si>
    <t>Iping Bus Shelter - Paint</t>
  </si>
  <si>
    <t>GB53EK38VAEUI</t>
  </si>
  <si>
    <t>CPR Attendee Shortfall Charge</t>
  </si>
  <si>
    <t>SHC-RR-2025-001</t>
  </si>
  <si>
    <t>Sussex Heart Charity</t>
  </si>
  <si>
    <t>S K Electrical</t>
  </si>
  <si>
    <t>AED Installation Iping Phone Box</t>
  </si>
  <si>
    <t>Iping Phone Box, AED installation</t>
  </si>
  <si>
    <t>HMRC(Tax Mnth 4 2025-26)</t>
  </si>
  <si>
    <t>Morag Birch(Tax Mnth 4 2025-26)</t>
  </si>
  <si>
    <t>HMRC(Tax Mnth  4 2025-26)</t>
  </si>
  <si>
    <t>Clerk: June Pay</t>
  </si>
  <si>
    <t>Clerk: June Expense</t>
  </si>
  <si>
    <t>RFO: June Pay</t>
  </si>
  <si>
    <t>Grass Cut June 2025</t>
  </si>
  <si>
    <t>Wel Medical</t>
  </si>
  <si>
    <t>Spare AED Pads</t>
  </si>
  <si>
    <t>Allotment Water Supply Apr-Jul DD</t>
  </si>
  <si>
    <t xml:space="preserve">Moore East Midlands </t>
  </si>
  <si>
    <t>External Audit 2024-25</t>
  </si>
  <si>
    <t>17938-979</t>
  </si>
  <si>
    <t>J C Miles</t>
  </si>
  <si>
    <t>Repair of Allotment Mower</t>
  </si>
  <si>
    <t>Clerk: July Pay</t>
  </si>
  <si>
    <t>Clerk: July Expense</t>
  </si>
  <si>
    <t>RFO: July Pay</t>
  </si>
  <si>
    <t>8 x Litter Pick(To be held at Rotherhill)</t>
  </si>
  <si>
    <t>4 x Bin Bag Holder(To be held at Rotherhill)</t>
  </si>
  <si>
    <t>GB50BIKGKD5BRI</t>
  </si>
  <si>
    <t>GB55H67ZEAEUI</t>
  </si>
  <si>
    <t>Printing Autumn Newsletter</t>
  </si>
  <si>
    <t>SI-16762</t>
  </si>
  <si>
    <t>Clear Round Pest Services Ltd</t>
  </si>
  <si>
    <t>Removal of wasps nest  - CV Playground</t>
  </si>
  <si>
    <t>X-Net Services</t>
  </si>
  <si>
    <t>Website changes to include Cemetery Search Page</t>
  </si>
  <si>
    <t>Inc cost to develop Cemetery search function</t>
  </si>
  <si>
    <t>Tea Club Consumable 03/09/25</t>
  </si>
  <si>
    <t>Tea Club  03/09/25 - Hall Hire</t>
  </si>
  <si>
    <t>Tea Club Receipts  03/09/25</t>
  </si>
  <si>
    <t>Sep25 Event - £92.63</t>
  </si>
  <si>
    <t>27Attendees -  +£1.57/person</t>
  </si>
  <si>
    <t>Comment</t>
  </si>
  <si>
    <t>Nett Profit/Loss</t>
  </si>
  <si>
    <t>£5 Fee introduced</t>
  </si>
  <si>
    <t>Nett Profit/Loss /person</t>
  </si>
  <si>
    <t>Precept 2025-26 2nd Installment</t>
  </si>
  <si>
    <t>HMRC(Tax Mnth 5 2025-26)</t>
  </si>
  <si>
    <t>Morag Birch(Tax Mnth 5 2025-26)</t>
  </si>
  <si>
    <t>HMRC(Tax Mnth  5 2025-26)</t>
  </si>
  <si>
    <t>HMRC(Tax Mnth 6 2025-26)</t>
  </si>
  <si>
    <t>Morag Birch(Tax Mnth 6 2025-26)</t>
  </si>
  <si>
    <t>Clerk:  August Pay</t>
  </si>
  <si>
    <t>Clerk: August Pay</t>
  </si>
  <si>
    <t>Clerk: August Expense</t>
  </si>
  <si>
    <t>RFO: August Pay</t>
  </si>
  <si>
    <t>100 x 2nd Class stamps for Newsletters</t>
  </si>
  <si>
    <t>3 x 25 Envelopes Newsletter</t>
  </si>
  <si>
    <t>20 x Archive Boxes</t>
  </si>
  <si>
    <t>Bags for Newsletters</t>
  </si>
  <si>
    <t>Training AGAR Assertion 10</t>
  </si>
  <si>
    <t>Tea Club 3/9/25 Consumables</t>
  </si>
  <si>
    <t>Tea Club 3/9/25 Room Hire</t>
  </si>
  <si>
    <t>WSCC</t>
  </si>
  <si>
    <t>Annual Rent 2025-26 CV Playing Field &amp; Allotments</t>
  </si>
  <si>
    <t>Teaclub 3/9/25 Receipts</t>
  </si>
  <si>
    <t>Grass Cut August 2025</t>
  </si>
  <si>
    <t>Emorsgate Seeds</t>
  </si>
  <si>
    <t>Beelines Project</t>
  </si>
  <si>
    <t>Allotment 2A Hodgson</t>
  </si>
  <si>
    <t>Allotment 8 Miles</t>
  </si>
  <si>
    <t>Allotment 7 Mitchell</t>
  </si>
  <si>
    <t>Allotment 1 Ford</t>
  </si>
  <si>
    <t>Allotment 10 Bowles</t>
  </si>
  <si>
    <t>Annual Fee</t>
  </si>
  <si>
    <t>Allotments 3&amp;4 Page</t>
  </si>
  <si>
    <t>Allotment 2 Harrison-Pile</t>
  </si>
  <si>
    <t>Allotment 6A Thole-Laird</t>
  </si>
  <si>
    <t>Amanda Hollinghead</t>
  </si>
  <si>
    <t>Skip Hire for Allotments</t>
  </si>
  <si>
    <t>Bi-annual Domain Fee</t>
  </si>
  <si>
    <t>Allotment 5 Axelton</t>
  </si>
  <si>
    <t>HMRC(Tax Mnth 7 2025-26)</t>
  </si>
  <si>
    <t>Morag Birch(Tax Mnth 7 2025-26)</t>
  </si>
  <si>
    <t>Clerk:  September Pay</t>
  </si>
  <si>
    <t>Clerk: September Pay</t>
  </si>
  <si>
    <t>Clerk: September Expense</t>
  </si>
  <si>
    <t>RFO: September Pay</t>
  </si>
  <si>
    <t>SIPC Grant - AED Light</t>
  </si>
  <si>
    <t>Allotment 10A Oram</t>
  </si>
  <si>
    <t>Allotment 5A Beresford</t>
  </si>
  <si>
    <t>Grass Cut September 2025</t>
  </si>
  <si>
    <t>Allotment 7A Pike</t>
  </si>
  <si>
    <t>Allotment 9 Mitchell</t>
  </si>
  <si>
    <t>Allotment 4A Liverton</t>
  </si>
  <si>
    <t>Allotment Water Supply Jul-Oct DD</t>
  </si>
  <si>
    <t>M Hodgson</t>
  </si>
  <si>
    <t>Newsletter August Photo Competition</t>
  </si>
  <si>
    <t>Annual Fee 10 Emails Accounts</t>
  </si>
  <si>
    <t>Mulled Wine Sales 25/10/2025</t>
  </si>
  <si>
    <t>Allotment 6 Munn</t>
  </si>
  <si>
    <t>Allotment 1A Hollingshead</t>
  </si>
  <si>
    <t>Net Mulled Wine Sales</t>
  </si>
  <si>
    <t>5Lt Thermos Drinks Dispenser</t>
  </si>
  <si>
    <t>6 Cases Mulled Wine. 4x35 Cups</t>
  </si>
  <si>
    <t>Increased from £35 to £40</t>
  </si>
  <si>
    <t>£50 Photo Competition Prize</t>
  </si>
  <si>
    <t>Allotment Maintenance(Water, Fencing, Mowing)</t>
  </si>
  <si>
    <t>HMRC(Tax Mnth 8 2025-26)</t>
  </si>
  <si>
    <t>Morag Birch(Tax Mnth 8 2025-26)</t>
  </si>
  <si>
    <t>Clerk:  October Pay</t>
  </si>
  <si>
    <t>Clerk: October  Pay</t>
  </si>
  <si>
    <t>Clerk: October  Expense</t>
  </si>
  <si>
    <t>RFO: October  Pay</t>
  </si>
  <si>
    <t>HMRC Employer NIC</t>
  </si>
  <si>
    <t>Months 1 - 7 2025-26</t>
  </si>
  <si>
    <t>Grass Cut October 2025</t>
  </si>
  <si>
    <t>DropBox Annual Fee 2025-26</t>
  </si>
  <si>
    <t>DropBox Annual Fee 2023-24</t>
  </si>
  <si>
    <t>DropBox Annual Fee 2024-25</t>
  </si>
  <si>
    <t>Stationery Print Paper</t>
  </si>
  <si>
    <t>M Birch (Reimburse 75% cost)</t>
  </si>
  <si>
    <t>2 x Christmas Trees</t>
  </si>
  <si>
    <t>Annual Service Charge 2025-26</t>
  </si>
  <si>
    <t>WI Tombola Prizes 29112025</t>
  </si>
  <si>
    <t>WI Tombola Net Sales 29112026</t>
  </si>
  <si>
    <t>Allotment 9A Kruba</t>
  </si>
  <si>
    <t>Allotment Tree Clearance</t>
  </si>
  <si>
    <t>Inc 2023-24 &amp; 2024-25 DropBox Payments ~£192. Late Reimbursement</t>
  </si>
  <si>
    <t>£550 - unbudgeted Allotment tree clearance</t>
  </si>
  <si>
    <t>HMRC(Tax Mnth 9 2025-26)</t>
  </si>
  <si>
    <t>Morag Birch(Tax Mnth 9 2025-26)</t>
  </si>
  <si>
    <t>Clerk:  November Pay</t>
  </si>
  <si>
    <t>Clerk: November  Pay</t>
  </si>
  <si>
    <t>Clerk: November  Expense</t>
  </si>
  <si>
    <t>RFO: November  Pay</t>
  </si>
  <si>
    <t>Months 8 &amp; 9 2025-26</t>
  </si>
  <si>
    <t>Xmas tea Club - Gross Takings</t>
  </si>
  <si>
    <t>Marking Paint for Daffodils</t>
  </si>
  <si>
    <t>AED Pads for Stedham</t>
  </si>
  <si>
    <t>Internal Interim Audit</t>
  </si>
  <si>
    <t>Litter Pick Tea Consumables 23/11/25</t>
  </si>
  <si>
    <t>Receipt lost/ Card statement</t>
  </si>
  <si>
    <t>Interim Audit not Budgeted £227(exc VAT)</t>
  </si>
  <si>
    <t>Playsafe Playground Ltd</t>
  </si>
  <si>
    <t>Annual Inspection 2025</t>
  </si>
  <si>
    <t>Hire of Hall Apr-Dec 2025</t>
  </si>
  <si>
    <t>12/2025</t>
  </si>
  <si>
    <t>BACS 23/9/25</t>
  </si>
  <si>
    <t>BACS 24/9/25</t>
  </si>
  <si>
    <t>BACS 25/9/25</t>
  </si>
  <si>
    <t>BACS 3/11/25</t>
  </si>
  <si>
    <t>BACS 29/9/25</t>
  </si>
  <si>
    <t>BACS 30/9/25</t>
  </si>
  <si>
    <t>BACS 6/10/25</t>
  </si>
  <si>
    <t>Cash 13/10/25</t>
  </si>
  <si>
    <t>Cash 15/10/25</t>
  </si>
  <si>
    <t>BACs 15/10/25</t>
  </si>
  <si>
    <t>BACs 20/10/25</t>
  </si>
  <si>
    <t>Cash 22/10/25</t>
  </si>
  <si>
    <t>Cash 30/11/25</t>
  </si>
  <si>
    <t>BACs 11/12/25</t>
  </si>
  <si>
    <t>Z2389759</t>
  </si>
  <si>
    <t>GB56MLENAAEUI</t>
  </si>
  <si>
    <t>GB56ML99GAEUI</t>
  </si>
  <si>
    <t>Inv 23</t>
  </si>
  <si>
    <t>BACS 15/9/20</t>
  </si>
  <si>
    <t>SO224884</t>
  </si>
  <si>
    <t>WKFKT7OD-0001</t>
  </si>
  <si>
    <t>GB508UTPEUCZDI</t>
  </si>
  <si>
    <t>3Q899F1D6638</t>
  </si>
  <si>
    <t>GB5069HXYLWLHI</t>
  </si>
  <si>
    <t>Inv221125</t>
  </si>
  <si>
    <t xml:space="preserve"> Inv24</t>
  </si>
  <si>
    <t>I292045</t>
  </si>
  <si>
    <t>VAT126 Claim 1st April 2025 to 31st December 2025 (VAT126 Apr25-Dec25)</t>
  </si>
  <si>
    <t>GB464103811</t>
  </si>
  <si>
    <t>GB53E38VAEUI</t>
  </si>
  <si>
    <t>GB322414053</t>
  </si>
  <si>
    <t>10 x Archive Boxes</t>
  </si>
  <si>
    <t>GB255830593</t>
  </si>
  <si>
    <t>GB193804781</t>
  </si>
  <si>
    <t>VAT not Claimed</t>
  </si>
  <si>
    <t>GB378692435</t>
  </si>
  <si>
    <t>Activity sheet values</t>
  </si>
  <si>
    <t>VAT126 Apr25-Dec25</t>
  </si>
  <si>
    <t>Information Commissioner's Office</t>
  </si>
  <si>
    <t>Fee increase not budgeted</t>
  </si>
  <si>
    <t>Iping Bus Shelter Paint, Removal of wasps nest</t>
  </si>
  <si>
    <t>Tea Club Sep &amp; Dec 2025, Mulled Wine sales Oct25. Tombola Receipts</t>
  </si>
  <si>
    <t>FRF10-000071</t>
  </si>
  <si>
    <t>Tea Club Consumable 10/12/25</t>
  </si>
  <si>
    <t>Tea Club  10/12/25 - Hall Hire</t>
  </si>
  <si>
    <t>Tea Club Receipts  10/12/25</t>
  </si>
  <si>
    <t>Room Hire - Tea Club 10th December 2025</t>
  </si>
  <si>
    <t>Tea Club 10/12/2025 - Consumables</t>
  </si>
  <si>
    <t>VAT126 Claim Apr25 to Dec25</t>
  </si>
  <si>
    <t>4Sight Vision Support</t>
  </si>
  <si>
    <t>Charitable Donation</t>
  </si>
  <si>
    <t>Sect137LGA1972</t>
  </si>
  <si>
    <t>KSS Air Ambulance</t>
  </si>
  <si>
    <t>Charitable Donation - Xmas Tree event</t>
  </si>
  <si>
    <t>Tea Club 10/12/2025 - Raffle Prizes</t>
  </si>
  <si>
    <t>Tea Raffle prizes 10/12/25</t>
  </si>
  <si>
    <t>Dec25 Event - £174.24</t>
  </si>
  <si>
    <r>
      <t>30 Attendees -  -£</t>
    </r>
    <r>
      <rPr>
        <sz val="14"/>
        <color rgb="FFFF0000"/>
        <rFont val="Arial"/>
        <family val="2"/>
      </rPr>
      <t>0.81</t>
    </r>
    <r>
      <rPr>
        <sz val="14"/>
        <color theme="1"/>
        <rFont val="Arial"/>
        <family val="2"/>
      </rPr>
      <t>/person</t>
    </r>
  </si>
  <si>
    <t>HMRC(Tax Mnth 10 2025-26)</t>
  </si>
  <si>
    <t>Morag Birch(Tax Mnth 10 2025-26)</t>
  </si>
  <si>
    <t>Clerk:  December Pay</t>
  </si>
  <si>
    <t>Clerk: December  Pay</t>
  </si>
  <si>
    <t>Clerk: December  Expense</t>
  </si>
  <si>
    <t>RFO: December  Pay</t>
  </si>
  <si>
    <t>Month 10 2025-26</t>
  </si>
  <si>
    <t>S K Electrical Ltd</t>
  </si>
  <si>
    <t>Replacement bulb fitted for Iping AED</t>
  </si>
  <si>
    <t>Allotment Water Supply Oct-Jan DD</t>
  </si>
  <si>
    <t>Works required after Annual Maintenance Inspection</t>
  </si>
  <si>
    <t xml:space="preserve">WSALC </t>
  </si>
  <si>
    <t>Online Training Course</t>
  </si>
  <si>
    <t xml:space="preserve">Note:	Section137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</si>
  <si>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11 2025-26)</t>
  </si>
  <si>
    <t>Morag Birch(Tax Mnth 11 2025-26)</t>
  </si>
  <si>
    <t>Month 11 2025-26</t>
  </si>
  <si>
    <t>Clerk:  January Pay</t>
  </si>
  <si>
    <t>Clerk: January  Expense</t>
  </si>
  <si>
    <t>RFO: January  Pay</t>
  </si>
  <si>
    <t>Clerk:  January Pay (Overtime)</t>
  </si>
  <si>
    <t>Zurich Insurance Co Ltd</t>
  </si>
  <si>
    <t>Annual Premium 2026-27</t>
  </si>
  <si>
    <t>Beelines Project - Scarification of planting area</t>
  </si>
  <si>
    <t>Beelines Project - Hire of scarifier</t>
  </si>
  <si>
    <t>3/815486</t>
  </si>
  <si>
    <t>HMRC(Tax Mnth 12 2025-26)</t>
  </si>
  <si>
    <t>Morag Birch(Tax Mnth 12 2025-26)</t>
  </si>
  <si>
    <t>Clerk:  February Pay</t>
  </si>
  <si>
    <t>Clerk: February Expense</t>
  </si>
  <si>
    <t>RFO: February  Pay</t>
  </si>
  <si>
    <t>Month 12 2025-26</t>
  </si>
  <si>
    <t>Archive FileBinders</t>
  </si>
  <si>
    <t>Sharp Sand Beelines Seed Planting</t>
  </si>
  <si>
    <t>2026-27</t>
  </si>
  <si>
    <t>Bank Balance @ 31st March 2026</t>
  </si>
  <si>
    <t>ANALYSIS (inc VAT)</t>
  </si>
  <si>
    <t>Precept</t>
  </si>
  <si>
    <t>Other receipts</t>
  </si>
  <si>
    <t>Staff Salaries</t>
  </si>
  <si>
    <t>Loan</t>
  </si>
  <si>
    <t>Not in end totals</t>
  </si>
  <si>
    <t>x</t>
  </si>
  <si>
    <t>Other Payments (inc Office Exp)</t>
  </si>
  <si>
    <t>Opening Debtors/Creditors</t>
  </si>
  <si>
    <t>Return Figures</t>
  </si>
  <si>
    <t>Brought Forward</t>
  </si>
  <si>
    <t>Net Income</t>
  </si>
  <si>
    <t>Carried Forward</t>
  </si>
  <si>
    <t>Reconciliation of Box 7 and Box 8 on Annual Return</t>
  </si>
  <si>
    <t>Box 7</t>
  </si>
  <si>
    <t>Net funds</t>
  </si>
  <si>
    <t>Less Debtors</t>
  </si>
  <si>
    <t>Plus Creditors</t>
  </si>
  <si>
    <t>Box 8</t>
  </si>
  <si>
    <t>Check Actual Bank Balance:</t>
  </si>
  <si>
    <t>Prepared by Morag Birch Clerk &amp; Responsible Finance Officer April 2026</t>
  </si>
  <si>
    <t>Financial Year Ending 31st March 2026</t>
  </si>
  <si>
    <t>Balance as per Bank Statement 31st March 2026</t>
  </si>
  <si>
    <t>Less Uncleared Payments at 31st March 2026</t>
  </si>
  <si>
    <t>Add Income for 2025/26 but not cleared</t>
  </si>
  <si>
    <t>Net Balance as at 31st March 2026</t>
  </si>
  <si>
    <t>3 x Litter Bins Service 2026-27</t>
  </si>
  <si>
    <t>3 x Litter Bins  Service 2026-27</t>
  </si>
  <si>
    <t>Less 2024-25 Tx</t>
  </si>
  <si>
    <t>Remove 2026/27 items</t>
  </si>
  <si>
    <t>Bank balance per bank reconciliation @ 31/03/2026</t>
  </si>
  <si>
    <t>Precept 2026-27 1st Installment</t>
  </si>
  <si>
    <t>AED Spare Pads-Stedham</t>
  </si>
  <si>
    <t>I294671</t>
  </si>
  <si>
    <t>M Birch (Ordered 18/3/26)</t>
  </si>
  <si>
    <t>Replacement Cradle Seats</t>
  </si>
  <si>
    <t>Hall Hire Jan-Mar 2026</t>
  </si>
  <si>
    <t>Tea Club May26 - Preparation</t>
  </si>
  <si>
    <t>Dog Fouling Signs</t>
  </si>
  <si>
    <t>The Midhurst Society</t>
  </si>
  <si>
    <t>Publication-Midhurst Area Womens' History</t>
  </si>
  <si>
    <t>SIPC Grant</t>
  </si>
  <si>
    <t>HMRC(Tax Mnth 1 2026-27)</t>
  </si>
  <si>
    <t>Morag Birch(Tax Mnth 1 2026-27)</t>
  </si>
  <si>
    <t>HMRC(Tax Mnth 1 2026-276)</t>
  </si>
  <si>
    <t>Month 1 2026-27</t>
  </si>
  <si>
    <t>Clerk:  March Pay</t>
  </si>
  <si>
    <t>RFO: March  Pay</t>
  </si>
  <si>
    <t>MBirch Pay &amp; Exp Mar2026</t>
  </si>
  <si>
    <t>NIC Month 1 2026-27</t>
  </si>
  <si>
    <t>Allotment Water Supply Jan-Apr 2026 DD</t>
  </si>
  <si>
    <t>Grass Cut March 2026</t>
  </si>
  <si>
    <t>WSALC_NALC Subscription 2026/27</t>
  </si>
  <si>
    <t>INV-0124</t>
  </si>
  <si>
    <t>Cosumables Litter Pick 19042026</t>
  </si>
  <si>
    <t>CPR Attendee shortfall, Mulled wine consumables, Litter Pick Consumables</t>
  </si>
  <si>
    <t>VAT126 Claim 1st January 2026 to 31st March 2026 (VAT126Jan26-Mar26)</t>
  </si>
  <si>
    <t>GB6XEHRIAEUI</t>
  </si>
  <si>
    <t>GB372797157</t>
  </si>
  <si>
    <t>3 x Litter Bins Service 2025-26</t>
  </si>
  <si>
    <t>VAT126 Jan26-Mar26</t>
  </si>
  <si>
    <t>Annual Clerk's membership Fee 2026-27</t>
  </si>
  <si>
    <t>MEM258451</t>
  </si>
  <si>
    <t>VAT Dec24-Mar25, VAT Apr25-Dec25-£1988.79 claimed. VAT Jan26-Mar26 -£701.78tbc</t>
  </si>
  <si>
    <t>Beelines Sharp Sand for Seed Planting</t>
  </si>
  <si>
    <t>Beelines Project Seed Purchase</t>
  </si>
  <si>
    <t>Stedham with Iping Parish Council</t>
  </si>
  <si>
    <t>Section 1</t>
  </si>
  <si>
    <t>2024/25</t>
  </si>
  <si>
    <t xml:space="preserve">Variance </t>
  </si>
  <si>
    <t>Explain variances over 15% (if more than £500)</t>
  </si>
  <si>
    <t>£</t>
  </si>
  <si>
    <t>%</t>
  </si>
  <si>
    <t>boxes 2/3/4/5/6/9/10</t>
  </si>
  <si>
    <t>Box 1</t>
  </si>
  <si>
    <t>Balances b/f</t>
  </si>
  <si>
    <t>Box 2</t>
  </si>
  <si>
    <t>Box 3</t>
  </si>
  <si>
    <t>See explanations Box 3</t>
  </si>
  <si>
    <t>Box 4</t>
  </si>
  <si>
    <t>Staff costs</t>
  </si>
  <si>
    <t>See explanations Box 4</t>
  </si>
  <si>
    <t>Box 5</t>
  </si>
  <si>
    <t>PWLB Loan</t>
  </si>
  <si>
    <t>Final payment in 26/05/2020</t>
  </si>
  <si>
    <t>Box 6</t>
  </si>
  <si>
    <t>Other payments</t>
  </si>
  <si>
    <t>See explanations Box 6</t>
  </si>
  <si>
    <t>Balances c/f</t>
  </si>
  <si>
    <t xml:space="preserve">Total cash </t>
  </si>
  <si>
    <t>Box 9</t>
  </si>
  <si>
    <t>Fixed assets</t>
  </si>
  <si>
    <t>See explanations Box 9</t>
  </si>
  <si>
    <t>Box 10</t>
  </si>
  <si>
    <t>Total borrowing</t>
  </si>
  <si>
    <t>Stedham wth Iping Parish Council</t>
  </si>
  <si>
    <t>Difference</t>
  </si>
  <si>
    <t>Explanation of variance</t>
  </si>
  <si>
    <t xml:space="preserve">Box 3 </t>
  </si>
  <si>
    <t>Allotment rent</t>
  </si>
  <si>
    <t>Grants (CIL)</t>
  </si>
  <si>
    <t>Other Income</t>
  </si>
  <si>
    <t>VAT126</t>
  </si>
  <si>
    <t>Staff(Clerk) salary including overtime</t>
  </si>
  <si>
    <t>Staff(RFO) salary</t>
  </si>
  <si>
    <t>Increase in hourly rate</t>
  </si>
  <si>
    <t>General administration, Subscriptions, Insurance, Website, Email Accounts, Data management</t>
  </si>
  <si>
    <t>Newsletter, other communications to all parishioners</t>
  </si>
  <si>
    <t>Video Conferencing application</t>
  </si>
  <si>
    <t>Stopped subscription 2022</t>
  </si>
  <si>
    <t>Office Expenses</t>
  </si>
  <si>
    <t>Audit</t>
  </si>
  <si>
    <t>Hall hire</t>
  </si>
  <si>
    <t>Election costs</t>
  </si>
  <si>
    <t>Grounds/property maintenance</t>
  </si>
  <si>
    <t>Playgrounds management</t>
  </si>
  <si>
    <t>Grants to Parish Organisations</t>
  </si>
  <si>
    <t>VAT</t>
  </si>
  <si>
    <t>Remove</t>
  </si>
  <si>
    <t>Net Funds</t>
  </si>
  <si>
    <t>Total (Funds-Debtors+Creditors)</t>
  </si>
  <si>
    <t>Bank balance per Reconciliation</t>
  </si>
  <si>
    <t>Delta</t>
  </si>
  <si>
    <t>2025/26</t>
  </si>
  <si>
    <t>6% increase on the precept from 2024/25 but consequent increase on Council Tax Band D is minimal (0.1%) due to the increased tax base resulting from the second home premium.</t>
  </si>
  <si>
    <t>Rent increased from £30 to £40 per Allotment</t>
  </si>
  <si>
    <t>Tea Club Receipts and other fund raising events,. 2024/25 included £250 VE/VJ grant</t>
  </si>
  <si>
    <t>No CIL grant money received. £6500 was applied for in support of Sussex Wildlife Trust project but no claims made to date.</t>
  </si>
  <si>
    <t>Purchase of play equipment in 2024-25 ~£16k(inc VAT). No comparable purchase 2025/26.</t>
  </si>
  <si>
    <t>Includes overtime £182(inc Tax)</t>
  </si>
  <si>
    <t xml:space="preserve"> Biennial fee for Website &amp; software development £390</t>
  </si>
  <si>
    <t>Unpaid DropBox Fees 23/24 &amp; 24/25 (£192). Archive Boxes (£72)</t>
  </si>
  <si>
    <t xml:space="preserve">Reduced costs for Tea Club.  New battery Charger in 2024/25. </t>
  </si>
  <si>
    <t xml:space="preserve">New Councillors </t>
  </si>
  <si>
    <t>Includes Interim Audit £227 not done in 2024/25</t>
  </si>
  <si>
    <t>Increased fees</t>
  </si>
  <si>
    <t>No election</t>
  </si>
  <si>
    <t>Purchased new equipment + Accessible gate &amp; path - £15929 (exc VAT) in 2024/25</t>
  </si>
  <si>
    <t xml:space="preserve">Fewer applications for grants </t>
  </si>
  <si>
    <t>VAT reclaim £3185 on new playground equipment in 2024/25</t>
  </si>
  <si>
    <t>VE Day WI Donation, Grant for AED Light</t>
  </si>
  <si>
    <t>+/- 2026/27 items not included in Budget</t>
  </si>
  <si>
    <t>Inc NICs</t>
  </si>
  <si>
    <t>Employer NICs</t>
  </si>
  <si>
    <t>Inc Tax on overtime(£36)</t>
  </si>
  <si>
    <t>Threshhold decreasd from £9100 to £5000</t>
  </si>
  <si>
    <t>No capital expenditure 2025-2026</t>
  </si>
  <si>
    <t>Only printed 1 issue, previous year printed 2.</t>
  </si>
  <si>
    <t>Repaired Village Sign ~ £1300(exc VAT) &amp;  Purchased AED ~ £1650(exc VAT) in 2024/25</t>
  </si>
  <si>
    <t>40% increase in water charges + leak(~£500). Tree removal in Allotments~£550. Skip Hire for Allotments ~£450. 2 x replacement AED pads ~£125.</t>
  </si>
  <si>
    <t>M Birch (Ordered 18/3/26) AED Pads</t>
  </si>
  <si>
    <t>Allotment 9A Cadam (May-Sep26)</t>
  </si>
  <si>
    <t>BACs</t>
  </si>
  <si>
    <t>Bank Balance 7th May 2026</t>
  </si>
  <si>
    <t>VAT126 Claim Jan26 - Mar26</t>
  </si>
  <si>
    <t>Beelines Grant</t>
  </si>
  <si>
    <t>Allotment 2 (May-Sep26)</t>
  </si>
  <si>
    <t>Allotment 9A (May-Sep26)</t>
  </si>
  <si>
    <t>Mulberry Local Authority Services</t>
  </si>
  <si>
    <t>Internal Audit 2025-26</t>
  </si>
  <si>
    <t>Bank Balance @ 7th May 2026</t>
  </si>
  <si>
    <t xml:space="preserve">High water charge - Leak &amp; increased charges.
</t>
  </si>
  <si>
    <t>Bank Balance 30th April 2026</t>
  </si>
  <si>
    <t>Exc 2026/27 VAT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</si>
</sst>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4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
      <sz val="11"/>
      <color rgb="FF0432FF"/>
      <name val="Calibri"/>
      <family val="2"/>
      <scheme val="minor"/>
    </font>
    <font>
      <sz val="11"/>
      <color rgb="FF0432FF"/>
      <name val="Arial"/>
      <family val="2"/>
    </font>
    <font>
      <b/>
      <sz val="11"/>
      <color rgb="FFFF0000"/>
      <name val="Calibri"/>
      <family val="2"/>
      <scheme val="minor"/>
    </font>
  </fonts>
  <fills count="15">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9" tint="0.59999389629810485"/>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ck">
        <color indexed="64"/>
      </top>
      <bottom style="thick">
        <color indexed="64"/>
      </bottom>
      <diagonal/>
    </border>
    <border>
      <left/>
      <right style="thin">
        <color indexed="64"/>
      </right>
      <top/>
      <bottom style="thin">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415">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40" fontId="0" fillId="2" borderId="12" xfId="5" applyNumberFormat="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6" fontId="18" fillId="0" borderId="1" xfId="0" applyNumberFormat="1" applyFont="1" applyBorder="1" applyAlignment="1">
      <alignment horizontal="right" vertical="top"/>
    </xf>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0" fontId="29" fillId="0" borderId="0" xfId="0" applyFont="1" applyAlignment="1">
      <alignment horizontal="right" vertical="top"/>
    </xf>
    <xf numFmtId="0" fontId="29" fillId="0" borderId="1" xfId="0" applyFont="1" applyBorder="1" applyAlignment="1">
      <alignment horizontal="right"/>
    </xf>
    <xf numFmtId="0" fontId="29" fillId="7" borderId="1" xfId="0" applyFont="1" applyFill="1" applyBorder="1" applyAlignment="1">
      <alignment horizontal="right" vertical="top"/>
    </xf>
    <xf numFmtId="8" fontId="27" fillId="8" borderId="1" xfId="0" applyNumberFormat="1" applyFont="1" applyFill="1" applyBorder="1"/>
    <xf numFmtId="8" fontId="27" fillId="8" borderId="1" xfId="0" applyNumberFormat="1" applyFont="1" applyFill="1" applyBorder="1" applyAlignment="1">
      <alignment horizontal="right" vertical="top"/>
    </xf>
    <xf numFmtId="0" fontId="27" fillId="8" borderId="1" xfId="0" applyFont="1" applyFill="1" applyBorder="1"/>
    <xf numFmtId="0" fontId="27" fillId="0" borderId="1" xfId="0" applyFont="1" applyBorder="1" applyAlignment="1">
      <alignment vertical="top" wrapText="1"/>
    </xf>
    <xf numFmtId="3" fontId="27" fillId="0" borderId="1" xfId="0" applyNumberFormat="1" applyFont="1" applyBorder="1" applyAlignment="1">
      <alignment horizontal="left" vertical="top" wrapText="1"/>
    </xf>
    <xf numFmtId="8" fontId="27" fillId="0" borderId="1" xfId="0" applyNumberFormat="1" applyFont="1" applyBorder="1"/>
    <xf numFmtId="17" fontId="27" fillId="6" borderId="1" xfId="0" applyNumberFormat="1" applyFont="1" applyFill="1" applyBorder="1" applyAlignment="1">
      <alignment horizontal="left" vertical="top"/>
    </xf>
    <xf numFmtId="0" fontId="27" fillId="6" borderId="1" xfId="0" applyFont="1" applyFill="1" applyBorder="1" applyAlignment="1">
      <alignment horizontal="left" vertical="top"/>
    </xf>
    <xf numFmtId="166" fontId="27" fillId="6" borderId="1" xfId="0" applyNumberFormat="1" applyFont="1" applyFill="1" applyBorder="1" applyAlignment="1">
      <alignment horizontal="right" vertical="top"/>
    </xf>
    <xf numFmtId="3" fontId="27" fillId="6" borderId="1" xfId="0" applyNumberFormat="1" applyFont="1" applyFill="1" applyBorder="1" applyAlignment="1">
      <alignment horizontal="right"/>
    </xf>
    <xf numFmtId="0" fontId="27" fillId="6" borderId="1" xfId="0" applyFont="1" applyFill="1" applyBorder="1"/>
    <xf numFmtId="0" fontId="29" fillId="0" borderId="0" xfId="0" applyFont="1" applyAlignment="1">
      <alignment vertical="top" wrapText="1"/>
    </xf>
    <xf numFmtId="0" fontId="29" fillId="0" borderId="1" xfId="0" applyFont="1" applyBorder="1" applyAlignment="1">
      <alignment wrapText="1"/>
    </xf>
    <xf numFmtId="0" fontId="29" fillId="0" borderId="1" xfId="0" applyFont="1" applyBorder="1" applyAlignment="1">
      <alignment horizontal="left" vertical="top" wrapText="1"/>
    </xf>
    <xf numFmtId="14" fontId="29" fillId="0" borderId="1" xfId="0" applyNumberFormat="1" applyFont="1" applyBorder="1" applyAlignment="1">
      <alignment horizontal="left" vertical="top" wrapText="1"/>
    </xf>
    <xf numFmtId="0" fontId="29" fillId="7" borderId="1" xfId="0" applyFont="1" applyFill="1" applyBorder="1" applyAlignment="1">
      <alignment horizontal="left" vertical="top" wrapText="1"/>
    </xf>
    <xf numFmtId="0" fontId="29" fillId="0" borderId="1" xfId="0" applyFont="1" applyBorder="1" applyAlignment="1">
      <alignment vertical="top" wrapText="1"/>
    </xf>
    <xf numFmtId="164" fontId="29" fillId="0" borderId="2" xfId="1" applyFont="1" applyBorder="1" applyAlignment="1">
      <alignment vertical="top"/>
    </xf>
    <xf numFmtId="164" fontId="29" fillId="0" borderId="2" xfId="1" applyFont="1" applyFill="1" applyBorder="1" applyAlignment="1">
      <alignment vertical="top"/>
    </xf>
    <xf numFmtId="17" fontId="29" fillId="0" borderId="1" xfId="0" quotePrefix="1" applyNumberFormat="1" applyFont="1" applyBorder="1" applyAlignment="1">
      <alignment horizontal="right" vertical="top"/>
    </xf>
    <xf numFmtId="0" fontId="0" fillId="0" borderId="1" xfId="0" applyBorder="1" applyAlignment="1">
      <alignment horizontal="right" vertical="top"/>
    </xf>
    <xf numFmtId="0" fontId="36" fillId="0" borderId="1" xfId="0" applyFont="1" applyBorder="1" applyAlignment="1">
      <alignment horizontal="right" vertical="top"/>
    </xf>
    <xf numFmtId="164" fontId="32" fillId="3" borderId="1" xfId="1" applyFont="1" applyFill="1" applyBorder="1" applyAlignment="1">
      <alignment vertical="top"/>
    </xf>
    <xf numFmtId="14" fontId="3" fillId="0" borderId="1" xfId="0" applyNumberFormat="1" applyFont="1" applyBorder="1" applyAlignment="1">
      <alignment horizontal="right" vertical="top" wrapText="1"/>
    </xf>
    <xf numFmtId="14" fontId="0" fillId="0" borderId="1" xfId="0" applyNumberFormat="1" applyBorder="1" applyAlignment="1">
      <alignment horizontal="right" vertical="top"/>
    </xf>
    <xf numFmtId="0" fontId="0" fillId="0" borderId="0" xfId="0" applyAlignment="1">
      <alignment horizontal="right" vertical="top"/>
    </xf>
    <xf numFmtId="0" fontId="29" fillId="8" borderId="1" xfId="0" applyFont="1" applyFill="1" applyBorder="1" applyAlignment="1">
      <alignment vertical="top"/>
    </xf>
    <xf numFmtId="8" fontId="27" fillId="0" borderId="1" xfId="0" applyNumberFormat="1" applyFont="1" applyBorder="1" applyAlignment="1">
      <alignment horizontal="right" vertical="top"/>
    </xf>
    <xf numFmtId="14" fontId="29" fillId="0" borderId="1" xfId="0" applyNumberFormat="1" applyFont="1" applyBorder="1" applyAlignment="1">
      <alignment horizontal="right" vertical="top"/>
    </xf>
    <xf numFmtId="14" fontId="29" fillId="11" borderId="1" xfId="0" applyNumberFormat="1" applyFont="1" applyFill="1" applyBorder="1" applyAlignment="1">
      <alignment horizontal="left" vertical="top"/>
    </xf>
    <xf numFmtId="0" fontId="29" fillId="11" borderId="1" xfId="0" applyFont="1" applyFill="1" applyBorder="1" applyAlignment="1">
      <alignment vertical="top"/>
    </xf>
    <xf numFmtId="0" fontId="29" fillId="11" borderId="1" xfId="0" applyFont="1" applyFill="1" applyBorder="1" applyAlignment="1">
      <alignment vertical="top" wrapText="1"/>
    </xf>
    <xf numFmtId="0" fontId="29" fillId="11" borderId="1" xfId="0" applyFont="1" applyFill="1" applyBorder="1" applyAlignment="1">
      <alignment horizontal="right" vertical="top"/>
    </xf>
    <xf numFmtId="0" fontId="29" fillId="11" borderId="1" xfId="0" applyFont="1" applyFill="1" applyBorder="1" applyAlignment="1">
      <alignment horizontal="center" vertical="top"/>
    </xf>
    <xf numFmtId="164" fontId="29" fillId="11" borderId="2" xfId="1" applyFont="1" applyFill="1" applyBorder="1" applyAlignment="1">
      <alignment vertical="top"/>
    </xf>
    <xf numFmtId="164" fontId="29" fillId="11" borderId="1" xfId="1" applyFont="1" applyFill="1" applyBorder="1" applyAlignment="1">
      <alignment vertical="top"/>
    </xf>
    <xf numFmtId="164" fontId="29" fillId="11" borderId="0" xfId="1" applyFont="1" applyFill="1" applyBorder="1" applyAlignment="1">
      <alignment vertical="top"/>
    </xf>
    <xf numFmtId="0" fontId="29" fillId="12" borderId="1" xfId="0" applyFont="1" applyFill="1" applyBorder="1" applyAlignment="1">
      <alignment vertical="top"/>
    </xf>
    <xf numFmtId="8" fontId="11" fillId="14" borderId="1" xfId="0" applyNumberFormat="1" applyFont="1" applyFill="1" applyBorder="1" applyAlignment="1">
      <alignment horizontal="left" vertical="top"/>
    </xf>
    <xf numFmtId="8" fontId="11" fillId="14" borderId="1" xfId="0" applyNumberFormat="1" applyFont="1" applyFill="1" applyBorder="1" applyAlignment="1">
      <alignment horizontal="left" vertical="top" wrapText="1"/>
    </xf>
    <xf numFmtId="168" fontId="0" fillId="0" borderId="1" xfId="0" applyNumberFormat="1" applyBorder="1" applyAlignment="1">
      <alignment horizontal="left" vertical="top" wrapText="1"/>
    </xf>
    <xf numFmtId="0" fontId="0" fillId="0" borderId="0" xfId="0" applyAlignment="1">
      <alignment horizontal="left" vertical="top" wrapText="1"/>
    </xf>
    <xf numFmtId="168" fontId="0" fillId="8" borderId="1" xfId="0" applyNumberFormat="1" applyFill="1" applyBorder="1" applyAlignment="1">
      <alignment horizontal="left" vertical="top" wrapText="1"/>
    </xf>
    <xf numFmtId="0" fontId="0" fillId="8" borderId="1" xfId="0" applyFill="1" applyBorder="1" applyAlignment="1">
      <alignment horizontal="left" vertical="top" wrapText="1"/>
    </xf>
    <xf numFmtId="168" fontId="0" fillId="7" borderId="1" xfId="0" applyNumberFormat="1" applyFill="1" applyBorder="1" applyAlignment="1">
      <alignment horizontal="left" vertical="top" wrapText="1"/>
    </xf>
    <xf numFmtId="0" fontId="0" fillId="7" borderId="1" xfId="0" applyFill="1" applyBorder="1" applyAlignment="1">
      <alignment horizontal="left" vertical="top" wrapText="1"/>
    </xf>
    <xf numFmtId="0" fontId="0" fillId="7" borderId="0" xfId="0" applyFill="1" applyAlignment="1">
      <alignment horizontal="left" vertical="top" wrapText="1"/>
    </xf>
    <xf numFmtId="168" fontId="0" fillId="0" borderId="0" xfId="0" applyNumberFormat="1" applyAlignment="1">
      <alignment horizontal="left" vertical="top" wrapText="1"/>
    </xf>
    <xf numFmtId="8" fontId="2" fillId="13" borderId="1" xfId="0" applyNumberFormat="1" applyFont="1" applyFill="1" applyBorder="1" applyAlignment="1">
      <alignment horizontal="center" vertical="top" wrapText="1"/>
    </xf>
    <xf numFmtId="0" fontId="10" fillId="0" borderId="1" xfId="0" applyFont="1" applyBorder="1"/>
    <xf numFmtId="8" fontId="10" fillId="0" borderId="1" xfId="0" applyNumberFormat="1" applyFont="1" applyBorder="1" applyAlignment="1">
      <alignment horizontal="right" vertical="top"/>
    </xf>
    <xf numFmtId="8" fontId="11" fillId="14" borderId="1" xfId="0" applyNumberFormat="1" applyFont="1" applyFill="1" applyBorder="1" applyAlignment="1">
      <alignment horizontal="right" vertical="top"/>
    </xf>
    <xf numFmtId="0" fontId="0" fillId="0" borderId="10" xfId="0" applyBorder="1" applyAlignment="1">
      <alignment horizontal="right" vertical="top" wrapText="1"/>
    </xf>
    <xf numFmtId="0" fontId="10" fillId="0" borderId="10" xfId="0" applyFont="1" applyBorder="1" applyAlignment="1">
      <alignment horizontal="right" vertical="top" wrapText="1"/>
    </xf>
    <xf numFmtId="0" fontId="11" fillId="0" borderId="10" xfId="0" applyFont="1" applyBorder="1" applyAlignment="1">
      <alignment horizontal="right" vertical="top" wrapText="1"/>
    </xf>
    <xf numFmtId="0" fontId="0" fillId="7" borderId="10" xfId="0" applyFill="1" applyBorder="1" applyAlignment="1">
      <alignment horizontal="right" vertical="top" wrapText="1"/>
    </xf>
    <xf numFmtId="0" fontId="0" fillId="0" borderId="0" xfId="0" applyAlignment="1">
      <alignment horizontal="right" vertical="top" wrapText="1"/>
    </xf>
    <xf numFmtId="8" fontId="38" fillId="13" borderId="1" xfId="0" applyNumberFormat="1" applyFont="1" applyFill="1" applyBorder="1" applyAlignment="1">
      <alignment horizontal="right" vertical="top" wrapText="1"/>
    </xf>
    <xf numFmtId="8" fontId="2" fillId="13" borderId="1" xfId="0" applyNumberFormat="1" applyFont="1" applyFill="1" applyBorder="1" applyAlignment="1">
      <alignment horizontal="right" vertical="top" wrapText="1"/>
    </xf>
    <xf numFmtId="8" fontId="0" fillId="7" borderId="1" xfId="0" applyNumberFormat="1" applyFill="1" applyBorder="1" applyAlignment="1">
      <alignment horizontal="right" vertical="top" wrapText="1"/>
    </xf>
    <xf numFmtId="8" fontId="38" fillId="13" borderId="19" xfId="0" applyNumberFormat="1" applyFont="1" applyFill="1" applyBorder="1" applyAlignment="1">
      <alignment horizontal="right" vertical="top" wrapText="1"/>
    </xf>
    <xf numFmtId="8" fontId="2" fillId="13" borderId="19" xfId="0" applyNumberFormat="1" applyFont="1" applyFill="1" applyBorder="1" applyAlignment="1">
      <alignment horizontal="right" vertical="top" wrapText="1"/>
    </xf>
    <xf numFmtId="8" fontId="38" fillId="13" borderId="22" xfId="0" applyNumberFormat="1" applyFont="1" applyFill="1" applyBorder="1" applyAlignment="1">
      <alignment horizontal="right" vertical="top" wrapText="1"/>
    </xf>
    <xf numFmtId="8" fontId="2" fillId="13" borderId="22" xfId="0" applyNumberFormat="1" applyFont="1" applyFill="1" applyBorder="1" applyAlignment="1">
      <alignment horizontal="right" vertical="top" wrapText="1"/>
    </xf>
    <xf numFmtId="8" fontId="38" fillId="13" borderId="0" xfId="0" applyNumberFormat="1" applyFont="1" applyFill="1" applyAlignment="1">
      <alignment horizontal="right" vertical="top" wrapText="1"/>
    </xf>
    <xf numFmtId="8" fontId="2" fillId="13" borderId="0" xfId="0" applyNumberFormat="1" applyFont="1" applyFill="1" applyAlignment="1">
      <alignment horizontal="right" vertical="top" wrapText="1"/>
    </xf>
    <xf numFmtId="8" fontId="38" fillId="13" borderId="1" xfId="0" applyNumberFormat="1" applyFont="1" applyFill="1" applyBorder="1" applyAlignment="1">
      <alignment horizontal="center" vertical="top" wrapText="1"/>
    </xf>
    <xf numFmtId="0" fontId="6" fillId="0" borderId="1" xfId="2" applyFont="1" applyBorder="1" applyAlignment="1">
      <alignment horizontal="left" vertical="top"/>
    </xf>
    <xf numFmtId="14" fontId="10" fillId="0" borderId="1" xfId="0" applyNumberFormat="1" applyFont="1" applyBorder="1" applyAlignment="1">
      <alignment horizontal="right" vertical="top"/>
    </xf>
    <xf numFmtId="0" fontId="6" fillId="0" borderId="1" xfId="2" applyFont="1" applyBorder="1" applyAlignment="1">
      <alignment horizontal="right" vertical="top"/>
    </xf>
    <xf numFmtId="0" fontId="6" fillId="0" borderId="1" xfId="2" applyFont="1" applyBorder="1"/>
    <xf numFmtId="166" fontId="10" fillId="0" borderId="1" xfId="0" applyNumberFormat="1" applyFont="1" applyBorder="1"/>
    <xf numFmtId="0" fontId="11" fillId="0" borderId="1" xfId="0" applyFont="1" applyBorder="1"/>
    <xf numFmtId="166" fontId="10" fillId="0" borderId="1" xfId="0" applyNumberFormat="1" applyFont="1" applyBorder="1" applyAlignment="1">
      <alignment horizontal="right" vertical="top"/>
    </xf>
    <xf numFmtId="8" fontId="10" fillId="0" borderId="1" xfId="0" applyNumberFormat="1" applyFont="1" applyBorder="1"/>
    <xf numFmtId="14" fontId="10" fillId="0" borderId="1" xfId="0" applyNumberFormat="1" applyFont="1" applyBorder="1"/>
    <xf numFmtId="8" fontId="11" fillId="14" borderId="1" xfId="0" applyNumberFormat="1" applyFont="1" applyFill="1" applyBorder="1"/>
    <xf numFmtId="8" fontId="0" fillId="0" borderId="0" xfId="0" applyNumberFormat="1" applyAlignment="1">
      <alignment vertical="top"/>
    </xf>
    <xf numFmtId="166" fontId="30" fillId="0" borderId="0" xfId="0" applyNumberFormat="1" applyFont="1" applyAlignment="1">
      <alignment vertical="top"/>
    </xf>
    <xf numFmtId="166" fontId="30" fillId="0" borderId="20" xfId="0" applyNumberFormat="1" applyFont="1" applyBorder="1" applyAlignment="1">
      <alignment vertical="top"/>
    </xf>
    <xf numFmtId="0" fontId="0" fillId="0" borderId="1" xfId="0" applyBorder="1" applyAlignment="1">
      <alignment horizontal="right" vertical="top" wrapText="1"/>
    </xf>
    <xf numFmtId="164" fontId="31" fillId="13" borderId="2" xfId="1" applyFont="1" applyFill="1" applyBorder="1" applyAlignment="1">
      <alignment vertical="top"/>
    </xf>
    <xf numFmtId="164" fontId="32" fillId="13" borderId="2" xfId="1" applyFont="1" applyFill="1" applyBorder="1" applyAlignment="1">
      <alignment vertical="top"/>
    </xf>
    <xf numFmtId="164" fontId="32" fillId="13" borderId="1" xfId="1" applyFont="1" applyFill="1" applyBorder="1" applyAlignment="1">
      <alignment vertical="top"/>
    </xf>
    <xf numFmtId="8" fontId="39" fillId="13" borderId="1" xfId="0" applyNumberFormat="1" applyFont="1" applyFill="1" applyBorder="1" applyAlignment="1">
      <alignment horizontal="center"/>
    </xf>
    <xf numFmtId="8" fontId="4" fillId="13" borderId="1" xfId="0" applyNumberFormat="1" applyFont="1" applyFill="1" applyBorder="1" applyAlignment="1">
      <alignment horizontal="center"/>
    </xf>
    <xf numFmtId="8" fontId="11" fillId="13" borderId="1" xfId="0" applyNumberFormat="1" applyFont="1" applyFill="1" applyBorder="1" applyAlignment="1">
      <alignment horizontal="center" vertical="top"/>
    </xf>
    <xf numFmtId="8" fontId="11" fillId="0" borderId="10" xfId="0" applyNumberFormat="1" applyFont="1" applyBorder="1" applyAlignment="1">
      <alignment horizontal="right" vertical="top" wrapText="1"/>
    </xf>
    <xf numFmtId="168" fontId="0" fillId="11" borderId="1" xfId="0" applyNumberFormat="1" applyFill="1" applyBorder="1" applyAlignment="1">
      <alignment horizontal="left" vertical="top" wrapText="1"/>
    </xf>
    <xf numFmtId="0" fontId="0" fillId="11" borderId="1" xfId="0" applyFill="1" applyBorder="1" applyAlignment="1">
      <alignment horizontal="left" vertical="top" wrapText="1"/>
    </xf>
    <xf numFmtId="8" fontId="38" fillId="11" borderId="1" xfId="0" applyNumberFormat="1" applyFont="1" applyFill="1" applyBorder="1" applyAlignment="1">
      <alignment horizontal="right" vertical="top" wrapText="1"/>
    </xf>
    <xf numFmtId="8" fontId="2" fillId="11" borderId="1" xfId="0" applyNumberFormat="1" applyFont="1" applyFill="1" applyBorder="1" applyAlignment="1">
      <alignment horizontal="right" vertical="top" wrapText="1"/>
    </xf>
    <xf numFmtId="0" fontId="0" fillId="11" borderId="10" xfId="0" applyFill="1" applyBorder="1" applyAlignment="1">
      <alignment horizontal="right" vertical="top" wrapText="1"/>
    </xf>
    <xf numFmtId="0" fontId="0" fillId="11" borderId="0" xfId="0" applyFill="1" applyAlignment="1">
      <alignment horizontal="left" vertical="top" wrapText="1"/>
    </xf>
    <xf numFmtId="0" fontId="0" fillId="7" borderId="1" xfId="0" applyFill="1" applyBorder="1" applyAlignment="1">
      <alignment horizontal="right" vertical="top" wrapText="1"/>
    </xf>
    <xf numFmtId="8" fontId="0" fillId="0" borderId="1" xfId="0" applyNumberFormat="1" applyBorder="1" applyAlignment="1">
      <alignment horizontal="right" vertical="top" wrapText="1"/>
    </xf>
    <xf numFmtId="0" fontId="0" fillId="11" borderId="1" xfId="0" applyFill="1" applyBorder="1" applyAlignment="1">
      <alignment horizontal="right" vertical="top" wrapText="1"/>
    </xf>
    <xf numFmtId="8" fontId="0" fillId="11" borderId="1" xfId="0" applyNumberFormat="1" applyFill="1" applyBorder="1" applyAlignment="1">
      <alignment horizontal="right" vertical="top" wrapText="1"/>
    </xf>
    <xf numFmtId="164" fontId="0" fillId="0" borderId="1" xfId="0" applyNumberFormat="1" applyBorder="1" applyAlignment="1">
      <alignment horizontal="right" vertical="top" wrapText="1"/>
    </xf>
    <xf numFmtId="164" fontId="10" fillId="0" borderId="1" xfId="0" applyNumberFormat="1" applyFont="1" applyBorder="1" applyAlignment="1">
      <alignment horizontal="right"/>
    </xf>
    <xf numFmtId="0" fontId="10" fillId="0" borderId="2" xfId="0" applyFont="1" applyBorder="1" applyAlignment="1">
      <alignment horizontal="right"/>
    </xf>
    <xf numFmtId="0" fontId="10" fillId="0" borderId="1" xfId="0" applyFont="1" applyBorder="1" applyAlignment="1">
      <alignment horizontal="right"/>
    </xf>
    <xf numFmtId="8" fontId="38" fillId="0" borderId="22" xfId="0" applyNumberFormat="1" applyFont="1" applyBorder="1" applyAlignment="1">
      <alignment horizontal="right" vertical="top" wrapText="1"/>
    </xf>
    <xf numFmtId="0" fontId="0" fillId="0" borderId="19" xfId="0" applyBorder="1" applyAlignment="1">
      <alignment horizontal="right" vertical="top" wrapText="1"/>
    </xf>
    <xf numFmtId="8" fontId="0" fillId="0" borderId="22" xfId="0" applyNumberFormat="1" applyBorder="1" applyAlignment="1">
      <alignment horizontal="right" vertical="top" wrapText="1"/>
    </xf>
    <xf numFmtId="0" fontId="0" fillId="0" borderId="2" xfId="0" applyBorder="1" applyAlignment="1">
      <alignment horizontal="right" vertical="top" wrapText="1"/>
    </xf>
    <xf numFmtId="164" fontId="0" fillId="12" borderId="1" xfId="0" applyNumberFormat="1" applyFill="1" applyBorder="1" applyAlignment="1">
      <alignment horizontal="right" vertical="top" wrapText="1"/>
    </xf>
    <xf numFmtId="8" fontId="2" fillId="0" borderId="22" xfId="0" applyNumberFormat="1" applyFont="1" applyBorder="1" applyAlignment="1">
      <alignment horizontal="right" vertical="top" wrapText="1"/>
    </xf>
    <xf numFmtId="166" fontId="0" fillId="0" borderId="1" xfId="0" applyNumberFormat="1" applyBorder="1" applyAlignment="1">
      <alignment horizontal="left" vertical="top" wrapText="1"/>
    </xf>
    <xf numFmtId="164" fontId="32" fillId="10" borderId="2" xfId="1" applyFont="1" applyFill="1" applyBorder="1" applyAlignment="1">
      <alignment vertical="top"/>
    </xf>
    <xf numFmtId="164" fontId="29" fillId="10" borderId="0" xfId="1" applyFont="1" applyFill="1" applyAlignment="1">
      <alignment vertical="top"/>
    </xf>
    <xf numFmtId="164" fontId="32" fillId="10" borderId="0" xfId="1" applyFont="1" applyFill="1" applyAlignment="1">
      <alignment vertical="top"/>
    </xf>
    <xf numFmtId="164" fontId="29" fillId="10" borderId="0" xfId="1" applyFont="1" applyFill="1" applyAlignment="1">
      <alignment horizontal="left" vertical="top"/>
    </xf>
    <xf numFmtId="164" fontId="32" fillId="10" borderId="0" xfId="1" applyFont="1" applyFill="1" applyAlignment="1">
      <alignment horizontal="left" vertical="top"/>
    </xf>
    <xf numFmtId="8" fontId="35" fillId="10" borderId="1" xfId="0" applyNumberFormat="1" applyFont="1" applyFill="1" applyBorder="1"/>
    <xf numFmtId="8" fontId="32" fillId="10" borderId="1" xfId="0" applyNumberFormat="1" applyFont="1" applyFill="1" applyBorder="1"/>
    <xf numFmtId="164" fontId="31" fillId="10" borderId="1" xfId="1" applyFont="1" applyFill="1" applyBorder="1" applyAlignment="1">
      <alignment vertical="top"/>
    </xf>
    <xf numFmtId="164" fontId="32" fillId="10" borderId="1" xfId="1" applyFont="1" applyFill="1" applyBorder="1" applyAlignment="1">
      <alignment vertical="top"/>
    </xf>
    <xf numFmtId="164" fontId="35" fillId="10" borderId="1" xfId="1" applyFont="1" applyFill="1" applyBorder="1" applyAlignment="1">
      <alignment vertical="top"/>
    </xf>
    <xf numFmtId="164" fontId="31" fillId="10" borderId="2" xfId="1" applyFont="1" applyFill="1" applyBorder="1" applyAlignment="1">
      <alignment vertical="top"/>
    </xf>
    <xf numFmtId="164" fontId="35" fillId="10" borderId="2" xfId="1" applyFont="1" applyFill="1" applyBorder="1" applyAlignment="1">
      <alignment vertical="top"/>
    </xf>
    <xf numFmtId="164" fontId="37" fillId="10" borderId="1" xfId="1" applyFont="1" applyFill="1" applyBorder="1" applyAlignment="1">
      <alignment vertical="top"/>
    </xf>
    <xf numFmtId="164" fontId="29" fillId="10" borderId="1" xfId="1" applyFont="1" applyFill="1" applyBorder="1" applyAlignment="1">
      <alignment vertical="top"/>
    </xf>
    <xf numFmtId="6" fontId="7" fillId="0" borderId="0" xfId="0" applyNumberFormat="1" applyFont="1" applyAlignment="1">
      <alignment vertical="top"/>
    </xf>
    <xf numFmtId="0" fontId="10" fillId="8" borderId="1" xfId="0" applyFont="1" applyFill="1" applyBorder="1" applyAlignment="1">
      <alignment horizontal="left" vertical="top"/>
    </xf>
    <xf numFmtId="9" fontId="0" fillId="0" borderId="1" xfId="0" applyNumberFormat="1" applyBorder="1"/>
    <xf numFmtId="167" fontId="0" fillId="0" borderId="1" xfId="0" applyNumberFormat="1" applyBorder="1"/>
    <xf numFmtId="0" fontId="3" fillId="0" borderId="1" xfId="0" applyFont="1" applyBorder="1"/>
    <xf numFmtId="167" fontId="0" fillId="0" borderId="1" xfId="0" applyNumberFormat="1" applyBorder="1" applyAlignment="1">
      <alignment vertical="top"/>
    </xf>
    <xf numFmtId="6" fontId="3" fillId="0" borderId="1" xfId="0" applyNumberFormat="1" applyFont="1" applyBorder="1"/>
    <xf numFmtId="6" fontId="0" fillId="0" borderId="1" xfId="0" applyNumberFormat="1" applyBorder="1" applyAlignment="1">
      <alignment vertical="top"/>
    </xf>
    <xf numFmtId="6" fontId="3" fillId="0" borderId="1" xfId="0" applyNumberFormat="1" applyFont="1" applyBorder="1" applyAlignment="1">
      <alignment vertical="top"/>
    </xf>
    <xf numFmtId="6" fontId="0" fillId="0" borderId="1" xfId="0" applyNumberFormat="1" applyBorder="1" applyAlignment="1">
      <alignment vertical="top" wrapText="1"/>
    </xf>
    <xf numFmtId="6" fontId="3" fillId="0" borderId="1" xfId="0" applyNumberFormat="1" applyFont="1" applyBorder="1" applyAlignment="1">
      <alignment vertical="top" wrapText="1"/>
    </xf>
    <xf numFmtId="8" fontId="0" fillId="0" borderId="1" xfId="0" applyNumberFormat="1" applyBorder="1"/>
    <xf numFmtId="6" fontId="0" fillId="0" borderId="0" xfId="0" applyNumberFormat="1"/>
    <xf numFmtId="8" fontId="32" fillId="13" borderId="2" xfId="1" applyNumberFormat="1" applyFont="1" applyFill="1" applyBorder="1" applyAlignment="1">
      <alignment vertical="top"/>
    </xf>
    <xf numFmtId="8" fontId="10" fillId="0" borderId="1" xfId="0" applyNumberFormat="1" applyFont="1" applyBorder="1" applyAlignment="1">
      <alignment horizontal="right"/>
    </xf>
    <xf numFmtId="164" fontId="29" fillId="0" borderId="1" xfId="0" applyNumberFormat="1" applyFont="1" applyBorder="1" applyAlignment="1">
      <alignment horizontal="right"/>
    </xf>
    <xf numFmtId="164" fontId="29" fillId="12" borderId="1" xfId="0" applyNumberFormat="1" applyFont="1" applyFill="1" applyBorder="1" applyAlignment="1">
      <alignment horizontal="right"/>
    </xf>
    <xf numFmtId="8" fontId="0" fillId="0" borderId="0" xfId="0" applyNumberFormat="1" applyAlignment="1">
      <alignment horizontal="right" vertical="top" wrapText="1"/>
    </xf>
    <xf numFmtId="8" fontId="0" fillId="0" borderId="19" xfId="0" applyNumberFormat="1" applyBorder="1" applyAlignment="1">
      <alignment horizontal="right" vertical="top" wrapText="1"/>
    </xf>
    <xf numFmtId="8" fontId="2" fillId="0" borderId="2" xfId="0" applyNumberFormat="1" applyFont="1" applyBorder="1" applyAlignment="1">
      <alignment horizontal="right" vertical="top" wrapText="1"/>
    </xf>
    <xf numFmtId="8" fontId="10" fillId="0" borderId="0" xfId="0" applyNumberFormat="1" applyFont="1" applyAlignment="1">
      <alignment vertical="top"/>
    </xf>
    <xf numFmtId="8" fontId="7" fillId="0" borderId="0" xfId="0" applyNumberFormat="1" applyFont="1" applyAlignment="1">
      <alignment vertical="top"/>
    </xf>
    <xf numFmtId="164" fontId="32" fillId="0" borderId="0" xfId="1" applyFont="1" applyFill="1" applyBorder="1" applyAlignment="1">
      <alignment vertical="top"/>
    </xf>
    <xf numFmtId="8" fontId="10" fillId="0" borderId="0" xfId="1" applyNumberFormat="1" applyFont="1" applyBorder="1" applyAlignment="1">
      <alignment vertical="top"/>
    </xf>
    <xf numFmtId="8" fontId="10" fillId="0" borderId="0" xfId="1" applyNumberFormat="1" applyFont="1" applyFill="1" applyBorder="1" applyAlignment="1">
      <alignment vertical="top"/>
    </xf>
    <xf numFmtId="8" fontId="11" fillId="0" borderId="1" xfId="1" applyNumberFormat="1" applyFont="1" applyFill="1" applyBorder="1" applyAlignment="1">
      <alignment horizontal="center" vertical="top" wrapText="1"/>
    </xf>
    <xf numFmtId="8" fontId="11" fillId="6" borderId="1" xfId="0" applyNumberFormat="1" applyFont="1" applyFill="1" applyBorder="1" applyAlignment="1">
      <alignment vertical="top" wrapText="1"/>
    </xf>
    <xf numFmtId="8" fontId="15" fillId="0" borderId="1" xfId="1" applyNumberFormat="1" applyFont="1" applyFill="1" applyBorder="1" applyAlignment="1">
      <alignment vertical="top"/>
    </xf>
    <xf numFmtId="8" fontId="10" fillId="0" borderId="1" xfId="1" applyNumberFormat="1" applyFont="1" applyFill="1" applyBorder="1" applyAlignment="1">
      <alignment horizontal="right" vertical="top"/>
    </xf>
    <xf numFmtId="8" fontId="11" fillId="6" borderId="1" xfId="1" applyNumberFormat="1" applyFont="1" applyFill="1" applyBorder="1" applyAlignment="1">
      <alignment vertical="top"/>
    </xf>
    <xf numFmtId="8" fontId="18" fillId="0" borderId="1" xfId="0" applyNumberFormat="1" applyFont="1" applyBorder="1" applyAlignment="1">
      <alignment vertical="top" wrapText="1"/>
    </xf>
    <xf numFmtId="8" fontId="20" fillId="0" borderId="1" xfId="0" applyNumberFormat="1" applyFont="1" applyBorder="1" applyAlignment="1">
      <alignment vertical="top" wrapText="1"/>
    </xf>
    <xf numFmtId="8" fontId="10" fillId="0" borderId="7" xfId="1" applyNumberFormat="1" applyFont="1" applyFill="1" applyBorder="1" applyAlignment="1">
      <alignment vertical="top"/>
    </xf>
    <xf numFmtId="8" fontId="11" fillId="0" borderId="12" xfId="1" applyNumberFormat="1" applyFont="1" applyFill="1" applyBorder="1" applyAlignment="1">
      <alignment vertical="top"/>
    </xf>
    <xf numFmtId="8" fontId="3" fillId="0" borderId="0" xfId="1" applyNumberFormat="1" applyFont="1" applyBorder="1" applyAlignment="1">
      <alignment vertical="top"/>
    </xf>
    <xf numFmtId="8" fontId="2" fillId="0" borderId="0" xfId="1" applyNumberFormat="1" applyFont="1" applyBorder="1" applyAlignment="1">
      <alignment vertical="top"/>
    </xf>
    <xf numFmtId="8" fontId="10" fillId="0" borderId="0" xfId="0" applyNumberFormat="1" applyFont="1" applyAlignment="1">
      <alignment vertical="top" wrapText="1"/>
    </xf>
    <xf numFmtId="0" fontId="0" fillId="12" borderId="1" xfId="0" applyFill="1" applyBorder="1" applyAlignment="1">
      <alignment horizontal="left" vertical="top" wrapText="1"/>
    </xf>
    <xf numFmtId="167" fontId="0" fillId="0" borderId="0" xfId="0" applyNumberFormat="1"/>
    <xf numFmtId="0" fontId="10" fillId="11" borderId="1" xfId="0" applyFont="1" applyFill="1" applyBorder="1" applyAlignment="1">
      <alignment vertical="top"/>
    </xf>
    <xf numFmtId="164" fontId="31" fillId="11" borderId="2" xfId="1" applyFont="1" applyFill="1" applyBorder="1" applyAlignment="1">
      <alignment vertical="top"/>
    </xf>
    <xf numFmtId="164" fontId="32" fillId="11" borderId="2" xfId="1" applyFont="1" applyFill="1" applyBorder="1" applyAlignment="1">
      <alignment vertical="top"/>
    </xf>
    <xf numFmtId="8" fontId="40" fillId="0" borderId="0" xfId="0" quotePrefix="1" applyNumberFormat="1" applyFont="1" applyAlignment="1">
      <alignment horizontal="left" vertical="top"/>
    </xf>
    <xf numFmtId="167" fontId="10" fillId="0" borderId="0" xfId="0" applyNumberFormat="1" applyFont="1" applyAlignment="1">
      <alignment horizontal="left" vertical="top" wrapText="1"/>
    </xf>
    <xf numFmtId="8" fontId="10" fillId="0" borderId="1" xfId="0" applyNumberFormat="1" applyFont="1" applyBorder="1" applyAlignment="1">
      <alignment horizontal="right" vertical="top" wrapText="1"/>
    </xf>
    <xf numFmtId="8" fontId="0" fillId="13" borderId="1" xfId="0" applyNumberFormat="1" applyFill="1" applyBorder="1" applyAlignment="1">
      <alignment horizontal="right" vertical="top" wrapText="1"/>
    </xf>
    <xf numFmtId="8" fontId="10" fillId="8" borderId="17" xfId="0" applyNumberFormat="1" applyFont="1" applyFill="1" applyBorder="1" applyAlignment="1">
      <alignment horizontal="center" vertical="top"/>
    </xf>
    <xf numFmtId="8" fontId="10" fillId="8" borderId="23" xfId="0" applyNumberFormat="1" applyFont="1" applyFill="1" applyBorder="1" applyAlignment="1">
      <alignment horizontal="center" vertical="top"/>
    </xf>
    <xf numFmtId="8" fontId="33" fillId="13" borderId="10" xfId="0" applyNumberFormat="1" applyFont="1" applyFill="1" applyBorder="1" applyAlignment="1">
      <alignment horizontal="center" vertical="top"/>
    </xf>
    <xf numFmtId="8" fontId="33" fillId="13" borderId="18" xfId="0" applyNumberFormat="1" applyFont="1" applyFill="1" applyBorder="1" applyAlignment="1">
      <alignment horizontal="center" vertical="top"/>
    </xf>
    <xf numFmtId="8" fontId="11" fillId="13" borderId="10" xfId="0" applyNumberFormat="1" applyFont="1" applyFill="1" applyBorder="1" applyAlignment="1">
      <alignment horizontal="center" vertical="top"/>
    </xf>
    <xf numFmtId="8" fontId="11" fillId="13" borderId="18" xfId="0" applyNumberFormat="1" applyFont="1" applyFill="1" applyBorder="1" applyAlignment="1">
      <alignment horizontal="center" vertical="top"/>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5">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00"/>
      <color rgb="FF0432FF"/>
      <color rgb="FFCCECFF"/>
      <color rgb="FFB4C6E7"/>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ersons/person.xml><?xml version="1.0" encoding="utf-8"?>
<personList xmlns="http://schemas.microsoft.com/office/spreadsheetml/2018/threadedcomments" xmlns:x="http://schemas.openxmlformats.org/spreadsheetml/2006/main">
  <person displayName="Morag Birch" id="{460BA93C-3666-0346-9902-065CA614DEC0}" userId="7e44cb58a767b515"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24" dT="2025-08-24T10:34:42.57" personId="{460BA93C-3666-0346-9902-065CA614DEC0}" id="{0BD08D6E-F742-2848-80BB-634A84E782F5}">
    <text>Allotment Water Supply (Actual reading 23/5/25. Previous Actual 25/1/24) (Charge increased from £1.9706 to £2.7702 /m3 1st April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tabSelected="1" zoomScale="130" zoomScaleNormal="130" workbookViewId="0">
      <pane xSplit="5" ySplit="3" topLeftCell="F14" activePane="bottomRight" state="frozen"/>
      <selection pane="topRight" activeCell="E1" sqref="E1"/>
      <selection pane="bottomLeft" activeCell="A4" sqref="A4"/>
      <selection pane="bottomRight" activeCell="H34" sqref="H34"/>
    </sheetView>
  </sheetViews>
  <sheetFormatPr baseColWidth="10" defaultColWidth="8.6640625" defaultRowHeight="14" x14ac:dyDescent="0.2"/>
  <cols>
    <col min="1" max="2" width="12.6640625" style="50" customWidth="1"/>
    <col min="3" max="3" width="7" style="50" hidden="1" customWidth="1"/>
    <col min="4" max="4" width="30.83203125" style="73" customWidth="1"/>
    <col min="5" max="5" width="14.5" style="3" customWidth="1"/>
    <col min="6" max="6" width="14.1640625" style="386" customWidth="1"/>
    <col min="7" max="7" width="14.6640625" style="92" customWidth="1"/>
    <col min="8" max="8" width="40.1640625" style="3" customWidth="1"/>
    <col min="9" max="9" width="9" style="74" customWidth="1"/>
    <col min="10" max="10" width="12.83203125" style="3" customWidth="1"/>
    <col min="11" max="16384" width="8.6640625" style="3"/>
  </cols>
  <sheetData>
    <row r="1" spans="1:14" ht="20" x14ac:dyDescent="0.2">
      <c r="A1" s="2" t="s">
        <v>623</v>
      </c>
      <c r="B1" s="2"/>
      <c r="C1" s="2"/>
    </row>
    <row r="2" spans="1:14" ht="21" thickBot="1" x14ac:dyDescent="0.25">
      <c r="A2" s="3"/>
      <c r="B2" s="2"/>
      <c r="C2" s="2"/>
      <c r="E2" s="4"/>
      <c r="F2" s="387"/>
    </row>
    <row r="3" spans="1:14" s="8" customFormat="1" ht="60" x14ac:dyDescent="0.2">
      <c r="A3" s="5" t="s">
        <v>0</v>
      </c>
      <c r="B3" s="6" t="s">
        <v>1</v>
      </c>
      <c r="C3" s="126" t="s">
        <v>381</v>
      </c>
      <c r="D3" s="7" t="s">
        <v>2</v>
      </c>
      <c r="E3" s="7" t="s">
        <v>622</v>
      </c>
      <c r="F3" s="388" t="s">
        <v>251</v>
      </c>
      <c r="G3" s="93" t="s">
        <v>252</v>
      </c>
      <c r="H3" s="4" t="s">
        <v>130</v>
      </c>
      <c r="I3" s="75" t="s">
        <v>133</v>
      </c>
      <c r="J3" s="72"/>
      <c r="K3" s="72"/>
      <c r="L3" s="72"/>
      <c r="M3" s="72"/>
      <c r="N3" s="72"/>
    </row>
    <row r="4" spans="1:14" ht="19" x14ac:dyDescent="0.2">
      <c r="A4" s="9" t="s">
        <v>3</v>
      </c>
      <c r="B4" s="10"/>
      <c r="C4" s="10"/>
      <c r="D4" s="25"/>
      <c r="E4" s="11"/>
      <c r="F4" s="106"/>
      <c r="G4" s="94"/>
    </row>
    <row r="5" spans="1:14" s="14" customFormat="1" ht="15" x14ac:dyDescent="0.2">
      <c r="A5" s="12"/>
      <c r="B5" s="13" t="s">
        <v>4</v>
      </c>
      <c r="C5" s="13" t="s">
        <v>382</v>
      </c>
      <c r="D5" s="13" t="s">
        <v>5</v>
      </c>
      <c r="E5" s="143">
        <v>26500</v>
      </c>
      <c r="F5" s="69">
        <f>Activity!H24+Activity!H77</f>
        <v>26500</v>
      </c>
      <c r="G5" s="108">
        <f t="shared" ref="G5:G8" si="0">E5-F5</f>
        <v>0</v>
      </c>
      <c r="I5" s="76"/>
    </row>
    <row r="6" spans="1:14" s="14" customFormat="1" ht="15" x14ac:dyDescent="0.2">
      <c r="A6" s="15"/>
      <c r="B6" s="13" t="s">
        <v>6</v>
      </c>
      <c r="C6" s="13" t="s">
        <v>383</v>
      </c>
      <c r="D6" s="13" t="s">
        <v>7</v>
      </c>
      <c r="E6" s="143">
        <v>350</v>
      </c>
      <c r="F6" s="101">
        <f>+Activity!H96+Activity!H97+Activity!H98+Activity!H99+Activity!H100+Activity!H102+Activity!H103+Activity!H104+Activity!H107+Activity!H114+Activity!H115+Activity!H117+Activity!H118+Activity!H120+Activity!H125+Activity!H126+Activity!H146</f>
        <v>400</v>
      </c>
      <c r="G6" s="108">
        <f t="shared" si="0"/>
        <v>-50</v>
      </c>
      <c r="H6" s="122" t="s">
        <v>751</v>
      </c>
      <c r="I6" s="76"/>
    </row>
    <row r="7" spans="1:14" s="14" customFormat="1" ht="15" x14ac:dyDescent="0.2">
      <c r="A7" s="15"/>
      <c r="B7" s="13" t="s">
        <v>8</v>
      </c>
      <c r="C7" s="13" t="s">
        <v>383</v>
      </c>
      <c r="D7" s="13" t="s">
        <v>376</v>
      </c>
      <c r="E7" s="160"/>
      <c r="F7" s="101"/>
      <c r="G7" s="108">
        <f t="shared" si="0"/>
        <v>0</v>
      </c>
      <c r="I7" s="76"/>
    </row>
    <row r="8" spans="1:14" s="14" customFormat="1" ht="30" x14ac:dyDescent="0.2">
      <c r="A8" s="15"/>
      <c r="B8" s="13" t="s">
        <v>9</v>
      </c>
      <c r="C8" s="13" t="s">
        <v>383</v>
      </c>
      <c r="D8" s="13" t="s">
        <v>377</v>
      </c>
      <c r="E8" s="139"/>
      <c r="F8" s="101">
        <f>+Activity!H92+Activity!H124+Activity!H145+Activity!H149</f>
        <v>536</v>
      </c>
      <c r="G8" s="108">
        <f t="shared" si="0"/>
        <v>-536</v>
      </c>
      <c r="H8" s="122" t="s">
        <v>835</v>
      </c>
      <c r="I8" s="76"/>
    </row>
    <row r="9" spans="1:14" s="14" customFormat="1" ht="45" x14ac:dyDescent="0.2">
      <c r="A9" s="15"/>
      <c r="B9" s="13" t="s">
        <v>9</v>
      </c>
      <c r="C9" s="13" t="s">
        <v>383</v>
      </c>
      <c r="D9" s="13" t="s">
        <v>213</v>
      </c>
      <c r="E9" s="139"/>
      <c r="F9" s="101">
        <f>Activity!H30+Activity!H165</f>
        <v>2718.67</v>
      </c>
      <c r="G9" s="108">
        <f>E9-F9</f>
        <v>-2718.67</v>
      </c>
      <c r="H9" s="122" t="s">
        <v>951</v>
      </c>
      <c r="I9" s="76"/>
    </row>
    <row r="10" spans="1:14" s="19" customFormat="1" ht="15" x14ac:dyDescent="0.2">
      <c r="A10" s="16"/>
      <c r="B10" s="17"/>
      <c r="C10" s="17"/>
      <c r="D10" s="18" t="s">
        <v>10</v>
      </c>
      <c r="E10" s="142">
        <f>SUM(E5:E7)</f>
        <v>26850</v>
      </c>
      <c r="F10" s="102">
        <f>SUM(F5:F9)</f>
        <v>30154.67</v>
      </c>
      <c r="G10" s="103">
        <f>(E10-F10)</f>
        <v>-3304.6699999999983</v>
      </c>
      <c r="I10" s="77"/>
    </row>
    <row r="11" spans="1:14" s="84" customFormat="1" x14ac:dyDescent="0.2">
      <c r="A11" s="82"/>
      <c r="B11" s="83"/>
      <c r="C11" s="83"/>
      <c r="D11" s="20"/>
      <c r="E11" s="161"/>
      <c r="F11" s="104"/>
      <c r="G11" s="105"/>
      <c r="I11" s="85"/>
    </row>
    <row r="12" spans="1:14" ht="18" x14ac:dyDescent="0.2">
      <c r="A12" s="21" t="s">
        <v>11</v>
      </c>
      <c r="B12" s="22"/>
      <c r="C12" s="22"/>
      <c r="D12" s="25"/>
      <c r="E12" s="135"/>
      <c r="F12" s="106"/>
      <c r="G12" s="107"/>
    </row>
    <row r="13" spans="1:14" s="14" customFormat="1" ht="15" x14ac:dyDescent="0.2">
      <c r="A13" s="23" t="s">
        <v>12</v>
      </c>
      <c r="B13" s="24" t="s">
        <v>13</v>
      </c>
      <c r="C13" s="24" t="s">
        <v>384</v>
      </c>
      <c r="D13" s="25" t="s">
        <v>14</v>
      </c>
      <c r="E13" s="135">
        <v>4411.68</v>
      </c>
      <c r="F13" s="127">
        <f>Activity!M33+Activity!M34+Activity!M43+Activity!M44+Activity!M55+Activity!M56+Activity!M66+Activity!M67+Activity!M78+Activity!M79+Activity!M108+Activity!M109+Activity!M130+Activity!M131+Activity!M150+Activity!M151+Activity!M170+Activity!M171+Activity!M181+Activity!M182+Activity!M193+Activity!M194+Activity!M204+Activity!M205</f>
        <v>4448.01</v>
      </c>
      <c r="G13" s="108">
        <f t="shared" ref="G13:G47" si="1">E13-F13</f>
        <v>-36.329999999999927</v>
      </c>
      <c r="H13" s="3" t="s">
        <v>1032</v>
      </c>
      <c r="I13" s="78">
        <f t="shared" ref="I13:I47" si="2">IFERROR(F13/E13,"")</f>
        <v>1.0082349581111958</v>
      </c>
      <c r="J13" s="14" t="str">
        <f t="shared" ref="J13:J59" si="3">IF(I13="","",IF(I13&gt;100%,"Check",IF(I13&lt;40%,"Underspend","")))</f>
        <v>Check</v>
      </c>
      <c r="M13" s="363"/>
    </row>
    <row r="14" spans="1:14" s="14" customFormat="1" ht="15" x14ac:dyDescent="0.2">
      <c r="A14" s="26"/>
      <c r="B14" s="24" t="s">
        <v>15</v>
      </c>
      <c r="C14" s="24" t="s">
        <v>384</v>
      </c>
      <c r="D14" s="25" t="s">
        <v>16</v>
      </c>
      <c r="E14" s="135">
        <v>441.16800000000006</v>
      </c>
      <c r="F14" s="128">
        <f>+Activity!M183</f>
        <v>145.30000000000001</v>
      </c>
      <c r="G14" s="108">
        <f t="shared" si="1"/>
        <v>295.86800000000005</v>
      </c>
      <c r="I14" s="78">
        <f t="shared" si="2"/>
        <v>0.32935299024407932</v>
      </c>
      <c r="J14" s="14" t="str">
        <f t="shared" si="3"/>
        <v>Underspend</v>
      </c>
    </row>
    <row r="15" spans="1:14" ht="15" x14ac:dyDescent="0.2">
      <c r="A15" s="27"/>
      <c r="B15" s="24" t="s">
        <v>17</v>
      </c>
      <c r="C15" s="24" t="s">
        <v>384</v>
      </c>
      <c r="D15" s="13" t="s">
        <v>18</v>
      </c>
      <c r="E15" s="135">
        <v>1890.72</v>
      </c>
      <c r="F15" s="129">
        <f>Activity!M36+Activity!M37+Activity!M46+Activity!M47+Activity!M58+Activity!M59+Activity!M69+Activity!M70+Activity!M81+Activity!M82+Activity!M111+Activity!M112+Activity!M133+Activity!M134+Activity!M153+Activity!M154+Activity!M173+Activity!M174+Activity!M185+Activity!M186+Activity!M196+Activity!M197+Activity!M207+Activity!M208</f>
        <v>1890.7199999999996</v>
      </c>
      <c r="G15" s="108">
        <f t="shared" si="1"/>
        <v>0</v>
      </c>
      <c r="H15" s="30"/>
      <c r="I15" s="78">
        <f t="shared" si="2"/>
        <v>0.99999999999999978</v>
      </c>
      <c r="J15" s="14" t="str">
        <f t="shared" si="3"/>
        <v/>
      </c>
    </row>
    <row r="16" spans="1:14" ht="15" x14ac:dyDescent="0.2">
      <c r="A16" s="27"/>
      <c r="B16" s="24" t="s">
        <v>624</v>
      </c>
      <c r="C16" s="24"/>
      <c r="D16" s="13" t="s">
        <v>625</v>
      </c>
      <c r="E16" s="135">
        <v>261.53520000000003</v>
      </c>
      <c r="F16" s="129">
        <f>+Activity!M136+Activity!M155+Activity!M175+Activity!M187+Activity!M198+Activity!M209</f>
        <v>237.44999999999996</v>
      </c>
      <c r="G16" s="108">
        <f t="shared" si="1"/>
        <v>24.085200000000071</v>
      </c>
      <c r="H16" s="30"/>
      <c r="I16" s="78"/>
      <c r="J16" s="14" t="str">
        <f t="shared" si="3"/>
        <v/>
      </c>
    </row>
    <row r="17" spans="1:10" ht="30" x14ac:dyDescent="0.2">
      <c r="A17" s="27"/>
      <c r="B17" s="24" t="s">
        <v>19</v>
      </c>
      <c r="C17" s="24" t="s">
        <v>385</v>
      </c>
      <c r="D17" s="25" t="s">
        <v>20</v>
      </c>
      <c r="E17" s="135">
        <v>500</v>
      </c>
      <c r="F17" s="106">
        <f>Activity!M35+Activity!M39+Activity!M41+Activity!M42+Activity!M45+Activity!M49+Activity!M57+Activity!M68+Activity!M80+Activity!M85+Activity!M110+Activity!M132+Activity!M138+Activity!M139+Activity!M140+Activity!M141+Activity!M152+Activity!M172+Activity!M184+Activity!M195+Activity!M199+Activity!M206</f>
        <v>517.57999999999993</v>
      </c>
      <c r="G17" s="108">
        <f t="shared" si="1"/>
        <v>-17.579999999999927</v>
      </c>
      <c r="H17" s="73" t="s">
        <v>774</v>
      </c>
      <c r="I17" s="78">
        <f t="shared" si="2"/>
        <v>1.0351599999999999</v>
      </c>
      <c r="J17" s="14" t="str">
        <f t="shared" si="3"/>
        <v>Check</v>
      </c>
    </row>
    <row r="18" spans="1:10" ht="15" x14ac:dyDescent="0.2">
      <c r="A18" s="27"/>
      <c r="B18" s="24" t="s">
        <v>21</v>
      </c>
      <c r="C18" s="24" t="s">
        <v>385</v>
      </c>
      <c r="D18" s="25" t="s">
        <v>99</v>
      </c>
      <c r="E18" s="143">
        <v>38.5</v>
      </c>
      <c r="F18" s="106">
        <f>+Activity!M101</f>
        <v>47</v>
      </c>
      <c r="G18" s="108">
        <f t="shared" si="1"/>
        <v>-8.5</v>
      </c>
      <c r="H18" s="3" t="s">
        <v>833</v>
      </c>
      <c r="I18" s="78">
        <f t="shared" si="2"/>
        <v>1.2207792207792207</v>
      </c>
      <c r="J18" s="14" t="str">
        <f t="shared" si="3"/>
        <v>Check</v>
      </c>
    </row>
    <row r="19" spans="1:10" ht="15" x14ac:dyDescent="0.2">
      <c r="A19" s="27"/>
      <c r="B19" s="24" t="s">
        <v>23</v>
      </c>
      <c r="C19" s="24" t="s">
        <v>385</v>
      </c>
      <c r="D19" s="25" t="s">
        <v>22</v>
      </c>
      <c r="E19" s="143">
        <v>900</v>
      </c>
      <c r="F19" s="106">
        <f>+Activity!M188</f>
        <v>877.49</v>
      </c>
      <c r="G19" s="108">
        <f t="shared" si="1"/>
        <v>22.509999999999991</v>
      </c>
      <c r="H19" s="73"/>
      <c r="I19" s="78">
        <f t="shared" si="2"/>
        <v>0.9749888888888889</v>
      </c>
      <c r="J19" s="14" t="str">
        <f t="shared" si="3"/>
        <v/>
      </c>
    </row>
    <row r="20" spans="1:10" ht="15" x14ac:dyDescent="0.2">
      <c r="A20" s="27"/>
      <c r="B20" s="24" t="s">
        <v>25</v>
      </c>
      <c r="C20" s="24" t="s">
        <v>385</v>
      </c>
      <c r="D20" s="25" t="s">
        <v>24</v>
      </c>
      <c r="E20" s="143">
        <v>499.12500000000006</v>
      </c>
      <c r="F20" s="106">
        <f>Activity!M32+Activity!M64+Activity!M158</f>
        <v>665</v>
      </c>
      <c r="G20" s="108">
        <f t="shared" si="1"/>
        <v>-165.87499999999994</v>
      </c>
      <c r="H20" s="3" t="s">
        <v>789</v>
      </c>
      <c r="I20" s="78">
        <f t="shared" si="2"/>
        <v>1.3323315802654645</v>
      </c>
      <c r="J20" s="14" t="str">
        <f t="shared" si="3"/>
        <v>Check</v>
      </c>
    </row>
    <row r="21" spans="1:10" ht="15" x14ac:dyDescent="0.2">
      <c r="A21" s="27"/>
      <c r="B21" s="24" t="s">
        <v>27</v>
      </c>
      <c r="C21" s="24" t="s">
        <v>385</v>
      </c>
      <c r="D21" s="25" t="s">
        <v>26</v>
      </c>
      <c r="E21" s="143">
        <v>75</v>
      </c>
      <c r="F21" s="106">
        <f>Activity!M28+Activity!M40+Activity!M53+Activity!M62+Activity!M76+Activity!M95+Activity!M119+Activity!M135+Activity!M161+Activity!M176+Activity!M189+Activity!M201</f>
        <v>51</v>
      </c>
      <c r="G21" s="108">
        <f t="shared" si="1"/>
        <v>24</v>
      </c>
      <c r="I21" s="78">
        <f t="shared" si="2"/>
        <v>0.68</v>
      </c>
      <c r="J21" s="14" t="str">
        <f t="shared" si="3"/>
        <v/>
      </c>
    </row>
    <row r="22" spans="1:10" ht="15" x14ac:dyDescent="0.2">
      <c r="A22" s="23"/>
      <c r="B22" s="24" t="s">
        <v>163</v>
      </c>
      <c r="C22" s="24" t="s">
        <v>385</v>
      </c>
      <c r="D22" s="25" t="s">
        <v>28</v>
      </c>
      <c r="E22" s="143">
        <v>250</v>
      </c>
      <c r="F22" s="106">
        <f>+Activity!M87+Activity!M180+Activity!M190</f>
        <v>85</v>
      </c>
      <c r="G22" s="108">
        <f t="shared" si="1"/>
        <v>165</v>
      </c>
      <c r="I22" s="78">
        <f t="shared" si="2"/>
        <v>0.34</v>
      </c>
      <c r="J22" s="14" t="str">
        <f t="shared" si="3"/>
        <v>Underspend</v>
      </c>
    </row>
    <row r="23" spans="1:10" ht="15" x14ac:dyDescent="0.2">
      <c r="A23" s="23" t="s">
        <v>46</v>
      </c>
      <c r="B23" s="24" t="s">
        <v>47</v>
      </c>
      <c r="C23" s="24" t="s">
        <v>385</v>
      </c>
      <c r="D23" s="25" t="s">
        <v>409</v>
      </c>
      <c r="E23" s="135">
        <v>400</v>
      </c>
      <c r="F23" s="106">
        <f>+Activity!M91</f>
        <v>400</v>
      </c>
      <c r="G23" s="108">
        <f t="shared" si="1"/>
        <v>0</v>
      </c>
      <c r="H23" s="73"/>
      <c r="I23" s="78">
        <f t="shared" si="2"/>
        <v>1</v>
      </c>
      <c r="J23" s="14" t="str">
        <f t="shared" si="3"/>
        <v/>
      </c>
    </row>
    <row r="24" spans="1:10" ht="30" x14ac:dyDescent="0.2">
      <c r="A24" s="27"/>
      <c r="B24" s="24" t="s">
        <v>48</v>
      </c>
      <c r="C24" s="24" t="s">
        <v>385</v>
      </c>
      <c r="D24" s="25" t="s">
        <v>753</v>
      </c>
      <c r="E24" s="135">
        <v>372.26200000000006</v>
      </c>
      <c r="F24" s="106">
        <f>Activity!M29+Activity!M63+Activity!M65+Activity!M105+Activity!M121+Activity!M178</f>
        <v>1429.52</v>
      </c>
      <c r="G24" s="108">
        <f t="shared" si="1"/>
        <v>-1057.2579999999998</v>
      </c>
      <c r="H24" s="73" t="s">
        <v>1049</v>
      </c>
      <c r="I24" s="78">
        <f t="shared" si="2"/>
        <v>3.8400911186207556</v>
      </c>
      <c r="J24" s="14" t="str">
        <f t="shared" si="3"/>
        <v>Check</v>
      </c>
    </row>
    <row r="25" spans="1:10" s="14" customFormat="1" ht="15" x14ac:dyDescent="0.2">
      <c r="A25" s="28" t="s">
        <v>37</v>
      </c>
      <c r="B25" s="29" t="s">
        <v>38</v>
      </c>
      <c r="C25" s="29" t="s">
        <v>385</v>
      </c>
      <c r="D25" s="58" t="s">
        <v>100</v>
      </c>
      <c r="E25" s="160">
        <v>583</v>
      </c>
      <c r="F25" s="106">
        <f>+Activity!M75+Activity!M106+Activity!M123++Activity!M143</f>
        <v>905</v>
      </c>
      <c r="G25" s="108">
        <f t="shared" si="1"/>
        <v>-322</v>
      </c>
      <c r="H25" s="14" t="s">
        <v>682</v>
      </c>
      <c r="I25" s="78">
        <f t="shared" si="2"/>
        <v>1.5523156089193826</v>
      </c>
      <c r="J25" s="14" t="str">
        <f t="shared" si="3"/>
        <v>Check</v>
      </c>
    </row>
    <row r="26" spans="1:10" ht="15" x14ac:dyDescent="0.2">
      <c r="A26" s="26"/>
      <c r="B26" s="29" t="s">
        <v>39</v>
      </c>
      <c r="C26" s="29" t="s">
        <v>385</v>
      </c>
      <c r="D26" s="13" t="s">
        <v>40</v>
      </c>
      <c r="E26" s="160">
        <v>0</v>
      </c>
      <c r="F26" s="106"/>
      <c r="G26" s="108">
        <f t="shared" si="1"/>
        <v>0</v>
      </c>
      <c r="I26" s="78" t="str">
        <f t="shared" si="2"/>
        <v/>
      </c>
      <c r="J26" s="14" t="str">
        <f t="shared" si="3"/>
        <v/>
      </c>
    </row>
    <row r="27" spans="1:10" ht="30" x14ac:dyDescent="0.2">
      <c r="A27" s="32"/>
      <c r="B27" s="11" t="s">
        <v>98</v>
      </c>
      <c r="C27" s="29" t="s">
        <v>385</v>
      </c>
      <c r="D27" s="25" t="s">
        <v>233</v>
      </c>
      <c r="E27" s="135">
        <v>1332.76</v>
      </c>
      <c r="F27" s="106">
        <f>+Activity!M73+Activity!M83+Activity!M84+Activity!M86+Activity!M122</f>
        <v>453.71000000000004</v>
      </c>
      <c r="G27" s="108">
        <f t="shared" si="1"/>
        <v>879.05</v>
      </c>
      <c r="H27" s="3" t="s">
        <v>752</v>
      </c>
      <c r="I27" s="78">
        <f t="shared" si="2"/>
        <v>0.34042888442030078</v>
      </c>
      <c r="J27" s="14" t="str">
        <f t="shared" si="3"/>
        <v>Underspend</v>
      </c>
    </row>
    <row r="28" spans="1:10" ht="15" x14ac:dyDescent="0.2">
      <c r="A28" s="32"/>
      <c r="B28" s="11" t="s">
        <v>146</v>
      </c>
      <c r="C28" s="29" t="s">
        <v>385</v>
      </c>
      <c r="D28" s="25" t="s">
        <v>152</v>
      </c>
      <c r="E28" s="135">
        <v>0</v>
      </c>
      <c r="F28" s="106"/>
      <c r="G28" s="108">
        <f t="shared" si="1"/>
        <v>0</v>
      </c>
      <c r="I28" s="78" t="str">
        <f t="shared" si="2"/>
        <v/>
      </c>
      <c r="J28" s="14" t="str">
        <f t="shared" si="3"/>
        <v/>
      </c>
    </row>
    <row r="29" spans="1:10" ht="15" x14ac:dyDescent="0.2">
      <c r="A29" s="32"/>
      <c r="B29" s="11" t="s">
        <v>150</v>
      </c>
      <c r="C29" s="29" t="s">
        <v>385</v>
      </c>
      <c r="D29" s="25" t="s">
        <v>164</v>
      </c>
      <c r="E29" s="135">
        <v>384.79100000000005</v>
      </c>
      <c r="F29" s="106">
        <f>+Activity!M142+Activity!M144</f>
        <v>313.77</v>
      </c>
      <c r="G29" s="108">
        <f t="shared" si="1"/>
        <v>71.021000000000072</v>
      </c>
      <c r="I29" s="78">
        <f t="shared" si="2"/>
        <v>0.81542967481048134</v>
      </c>
      <c r="J29" s="14" t="str">
        <f t="shared" si="3"/>
        <v/>
      </c>
    </row>
    <row r="30" spans="1:10" s="30" customFormat="1" ht="30" x14ac:dyDescent="0.2">
      <c r="A30" s="32"/>
      <c r="B30" s="11" t="s">
        <v>156</v>
      </c>
      <c r="C30" s="29" t="s">
        <v>385</v>
      </c>
      <c r="D30" s="25" t="s">
        <v>161</v>
      </c>
      <c r="E30" s="135">
        <v>990.00000000000011</v>
      </c>
      <c r="F30" s="383">
        <f>+Activity!M52+Activity!M127+Activity!M128+Activity!M129+Activity!M159</f>
        <v>358.46999999999997</v>
      </c>
      <c r="G30" s="108">
        <f t="shared" si="1"/>
        <v>631.5300000000002</v>
      </c>
      <c r="H30" s="73" t="s">
        <v>943</v>
      </c>
      <c r="I30" s="78">
        <f>IFERROR(F30/E30,"")</f>
        <v>0.36209090909090902</v>
      </c>
      <c r="J30" s="14" t="str">
        <f t="shared" si="3"/>
        <v>Underspend</v>
      </c>
    </row>
    <row r="31" spans="1:10" s="30" customFormat="1" ht="15" x14ac:dyDescent="0.2">
      <c r="A31" s="32"/>
      <c r="B31" s="11" t="s">
        <v>477</v>
      </c>
      <c r="C31" s="29"/>
      <c r="D31" s="25" t="s">
        <v>478</v>
      </c>
      <c r="E31" s="135">
        <v>660</v>
      </c>
      <c r="F31" s="106">
        <f>+Activity!M88+Activity!M89+Activity!M90+Activity!M160+Activity!M164+Activity!M168+Activity!M169+Activity!M213</f>
        <v>271.32</v>
      </c>
      <c r="G31" s="108">
        <f t="shared" si="1"/>
        <v>388.68</v>
      </c>
      <c r="H31" s="73"/>
      <c r="I31" s="78">
        <f>IFERROR(F31/E31,"")</f>
        <v>0.41109090909090906</v>
      </c>
      <c r="J31" s="14" t="str">
        <f t="shared" si="3"/>
        <v/>
      </c>
    </row>
    <row r="32" spans="1:10" s="30" customFormat="1" ht="15" x14ac:dyDescent="0.2">
      <c r="A32" s="23" t="s">
        <v>49</v>
      </c>
      <c r="B32" s="11" t="s">
        <v>50</v>
      </c>
      <c r="C32" s="24" t="s">
        <v>385</v>
      </c>
      <c r="D32" s="25" t="s">
        <v>131</v>
      </c>
      <c r="E32" s="135">
        <v>6000</v>
      </c>
      <c r="F32" s="106">
        <f>Activity!M25+Activity!M38+Activity!M48+Activity!M60+Activity!M93+Activity!M116+Activity!M137+Activity!M216</f>
        <v>5258.3600000000006</v>
      </c>
      <c r="G32" s="108">
        <f t="shared" si="1"/>
        <v>741.63999999999942</v>
      </c>
      <c r="H32" s="3"/>
      <c r="I32" s="78">
        <f t="shared" si="2"/>
        <v>0.87639333333333347</v>
      </c>
      <c r="J32" s="14" t="str">
        <f t="shared" si="3"/>
        <v/>
      </c>
    </row>
    <row r="33" spans="1:10" s="30" customFormat="1" ht="15" x14ac:dyDescent="0.2">
      <c r="A33" s="26" t="s">
        <v>144</v>
      </c>
      <c r="B33" s="11" t="s">
        <v>51</v>
      </c>
      <c r="C33" s="24" t="s">
        <v>385</v>
      </c>
      <c r="D33" s="25" t="s">
        <v>52</v>
      </c>
      <c r="E33" s="135">
        <v>363.00000000000006</v>
      </c>
      <c r="F33" s="106">
        <f>Activity!M162</f>
        <v>356</v>
      </c>
      <c r="G33" s="108">
        <f t="shared" si="1"/>
        <v>7.0000000000000568</v>
      </c>
      <c r="H33" s="3"/>
      <c r="I33" s="78">
        <f t="shared" si="2"/>
        <v>0.98071625344352598</v>
      </c>
      <c r="J33" s="14" t="str">
        <f t="shared" si="3"/>
        <v/>
      </c>
    </row>
    <row r="34" spans="1:10" ht="15" x14ac:dyDescent="0.2">
      <c r="A34" s="31" t="s">
        <v>145</v>
      </c>
      <c r="B34" s="11" t="s">
        <v>53</v>
      </c>
      <c r="C34" s="24" t="s">
        <v>385</v>
      </c>
      <c r="D34" s="25" t="s">
        <v>54</v>
      </c>
      <c r="E34" s="135">
        <v>363.00000000000006</v>
      </c>
      <c r="F34" s="106">
        <f>+Activity!M179+Activity!M211</f>
        <v>1564</v>
      </c>
      <c r="G34" s="108">
        <f t="shared" si="1"/>
        <v>-1201</v>
      </c>
      <c r="H34" s="73"/>
      <c r="I34" s="78">
        <f t="shared" si="2"/>
        <v>4.3085399449035808</v>
      </c>
      <c r="J34" s="14" t="str">
        <f t="shared" si="3"/>
        <v>Check</v>
      </c>
    </row>
    <row r="35" spans="1:10" s="14" customFormat="1" ht="15" x14ac:dyDescent="0.2">
      <c r="A35" s="26"/>
      <c r="B35" s="11" t="s">
        <v>55</v>
      </c>
      <c r="C35" s="24" t="s">
        <v>385</v>
      </c>
      <c r="D35" s="25" t="s">
        <v>128</v>
      </c>
      <c r="E35" s="135">
        <v>0</v>
      </c>
      <c r="F35" s="106"/>
      <c r="G35" s="108">
        <f t="shared" si="1"/>
        <v>0</v>
      </c>
      <c r="H35" s="3"/>
      <c r="I35" s="78" t="str">
        <f t="shared" si="2"/>
        <v/>
      </c>
      <c r="J35" s="14" t="str">
        <f t="shared" si="3"/>
        <v/>
      </c>
    </row>
    <row r="36" spans="1:10" ht="15" x14ac:dyDescent="0.2">
      <c r="A36" s="31"/>
      <c r="B36" s="11" t="s">
        <v>56</v>
      </c>
      <c r="C36" s="24" t="s">
        <v>385</v>
      </c>
      <c r="D36" s="25" t="s">
        <v>475</v>
      </c>
      <c r="E36" s="135">
        <v>1650.0000000000002</v>
      </c>
      <c r="F36" s="106">
        <f>Activity!M147+Activity!M148</f>
        <v>2150</v>
      </c>
      <c r="G36" s="108">
        <f t="shared" si="1"/>
        <v>-499.99999999999977</v>
      </c>
      <c r="H36" s="115" t="s">
        <v>775</v>
      </c>
      <c r="I36" s="78">
        <f t="shared" si="2"/>
        <v>1.3030303030303028</v>
      </c>
      <c r="J36" s="14" t="str">
        <f t="shared" si="3"/>
        <v>Check</v>
      </c>
    </row>
    <row r="37" spans="1:10" ht="15" x14ac:dyDescent="0.2">
      <c r="A37" s="27"/>
      <c r="B37" s="11" t="s">
        <v>58</v>
      </c>
      <c r="C37" s="24" t="s">
        <v>385</v>
      </c>
      <c r="D37" s="25" t="s">
        <v>57</v>
      </c>
      <c r="E37" s="135">
        <v>200</v>
      </c>
      <c r="F37" s="106"/>
      <c r="G37" s="108">
        <f t="shared" si="1"/>
        <v>200</v>
      </c>
      <c r="I37" s="78">
        <f t="shared" si="2"/>
        <v>0</v>
      </c>
      <c r="J37" s="14" t="str">
        <f t="shared" si="3"/>
        <v>Underspend</v>
      </c>
    </row>
    <row r="38" spans="1:10" ht="15" x14ac:dyDescent="0.2">
      <c r="A38" s="26"/>
      <c r="B38" s="11" t="s">
        <v>60</v>
      </c>
      <c r="C38" s="24" t="s">
        <v>385</v>
      </c>
      <c r="D38" s="25" t="s">
        <v>59</v>
      </c>
      <c r="E38" s="135">
        <v>484.00000000000011</v>
      </c>
      <c r="F38" s="106">
        <f>+Activity!M202</f>
        <v>411.84</v>
      </c>
      <c r="G38" s="108">
        <f t="shared" si="1"/>
        <v>72.160000000000139</v>
      </c>
      <c r="H38" s="14"/>
      <c r="I38" s="78">
        <f t="shared" si="2"/>
        <v>0.85090909090909062</v>
      </c>
      <c r="J38" s="14" t="str">
        <f t="shared" si="3"/>
        <v/>
      </c>
    </row>
    <row r="39" spans="1:10" ht="30" x14ac:dyDescent="0.2">
      <c r="A39" s="32"/>
      <c r="B39" s="11" t="s">
        <v>61</v>
      </c>
      <c r="C39" s="24" t="s">
        <v>385</v>
      </c>
      <c r="D39" s="25" t="s">
        <v>476</v>
      </c>
      <c r="E39" s="135">
        <v>250</v>
      </c>
      <c r="F39" s="106">
        <f>+Activity!M51+Activity!M61+Activity!M71+Activity!M72+Activity!M74+Activity!M157+Activity!M177+Activity!M210+Activity!M214</f>
        <v>370.09999999999997</v>
      </c>
      <c r="G39" s="108">
        <f t="shared" si="1"/>
        <v>-120.09999999999997</v>
      </c>
      <c r="H39" s="73" t="s">
        <v>834</v>
      </c>
      <c r="I39" s="78">
        <f t="shared" si="2"/>
        <v>1.4803999999999999</v>
      </c>
      <c r="J39" s="14" t="str">
        <f t="shared" si="3"/>
        <v>Check</v>
      </c>
    </row>
    <row r="40" spans="1:10" ht="15" x14ac:dyDescent="0.2">
      <c r="A40" s="32"/>
      <c r="B40" s="11" t="s">
        <v>147</v>
      </c>
      <c r="C40" s="29" t="s">
        <v>385</v>
      </c>
      <c r="D40" s="25" t="s">
        <v>149</v>
      </c>
      <c r="E40" s="135"/>
      <c r="F40" s="106"/>
      <c r="G40" s="108">
        <f t="shared" si="1"/>
        <v>0</v>
      </c>
      <c r="H40" s="73"/>
      <c r="I40" s="78" t="str">
        <f t="shared" si="2"/>
        <v/>
      </c>
      <c r="J40" s="14" t="str">
        <f t="shared" si="3"/>
        <v/>
      </c>
    </row>
    <row r="41" spans="1:10" s="14" customFormat="1" ht="15" x14ac:dyDescent="0.2">
      <c r="A41" s="32"/>
      <c r="B41" s="11" t="s">
        <v>148</v>
      </c>
      <c r="C41" s="24" t="s">
        <v>385</v>
      </c>
      <c r="D41" s="25" t="s">
        <v>165</v>
      </c>
      <c r="E41" s="135">
        <v>6000</v>
      </c>
      <c r="F41" s="130">
        <f>+Activity!M50+Activity!M54+Activity!M94+Activity!M156+Activity!M191+Activity!M192+Activity!M200</f>
        <v>2223.7999999999997</v>
      </c>
      <c r="G41" s="108">
        <f t="shared" si="1"/>
        <v>3776.2000000000003</v>
      </c>
      <c r="H41" s="73" t="s">
        <v>653</v>
      </c>
      <c r="I41" s="78">
        <f t="shared" si="2"/>
        <v>0.37063333333333331</v>
      </c>
      <c r="J41" s="14" t="str">
        <f t="shared" si="3"/>
        <v>Underspend</v>
      </c>
    </row>
    <row r="42" spans="1:10" ht="15" x14ac:dyDescent="0.2">
      <c r="A42" s="28" t="s">
        <v>35</v>
      </c>
      <c r="B42" s="29" t="s">
        <v>36</v>
      </c>
      <c r="C42" s="29"/>
      <c r="D42" s="13" t="s">
        <v>35</v>
      </c>
      <c r="E42" s="160">
        <v>0</v>
      </c>
      <c r="F42" s="106"/>
      <c r="G42" s="108">
        <f t="shared" si="1"/>
        <v>0</v>
      </c>
      <c r="I42" s="78" t="str">
        <f t="shared" si="2"/>
        <v/>
      </c>
      <c r="J42" s="14" t="str">
        <f t="shared" si="3"/>
        <v/>
      </c>
    </row>
    <row r="43" spans="1:10" ht="15" x14ac:dyDescent="0.2">
      <c r="A43" s="23" t="s">
        <v>41</v>
      </c>
      <c r="B43" s="24" t="s">
        <v>42</v>
      </c>
      <c r="C43" s="24" t="s">
        <v>386</v>
      </c>
      <c r="D43" s="25" t="s">
        <v>43</v>
      </c>
      <c r="E43" s="135">
        <v>0</v>
      </c>
      <c r="F43" s="106"/>
      <c r="G43" s="108">
        <f t="shared" si="1"/>
        <v>0</v>
      </c>
      <c r="I43" s="78" t="str">
        <f t="shared" si="2"/>
        <v/>
      </c>
      <c r="J43" s="14" t="str">
        <f t="shared" si="3"/>
        <v/>
      </c>
    </row>
    <row r="44" spans="1:10" ht="15" x14ac:dyDescent="0.2">
      <c r="A44" s="27"/>
      <c r="B44" s="24" t="s">
        <v>44</v>
      </c>
      <c r="C44" s="29" t="s">
        <v>385</v>
      </c>
      <c r="D44" s="25" t="s">
        <v>45</v>
      </c>
      <c r="E44" s="135">
        <v>0</v>
      </c>
      <c r="F44" s="130">
        <f>Activity!M163+Activity!M212</f>
        <v>526.5</v>
      </c>
      <c r="G44" s="108">
        <f t="shared" si="1"/>
        <v>-526.5</v>
      </c>
      <c r="H44" s="30"/>
      <c r="I44" s="78" t="str">
        <f t="shared" si="2"/>
        <v/>
      </c>
      <c r="J44" s="14" t="str">
        <f t="shared" si="3"/>
        <v/>
      </c>
    </row>
    <row r="45" spans="1:10" ht="15" x14ac:dyDescent="0.2">
      <c r="A45" s="23" t="s">
        <v>29</v>
      </c>
      <c r="B45" s="24" t="s">
        <v>30</v>
      </c>
      <c r="C45" s="24" t="s">
        <v>385</v>
      </c>
      <c r="D45" s="25" t="s">
        <v>94</v>
      </c>
      <c r="E45" s="135">
        <v>363.00000000000006</v>
      </c>
      <c r="F45" s="106">
        <f>Activity!M26</f>
        <v>314.7</v>
      </c>
      <c r="G45" s="108">
        <f t="shared" si="1"/>
        <v>48.300000000000068</v>
      </c>
      <c r="H45" s="30"/>
      <c r="I45" s="78">
        <f t="shared" si="2"/>
        <v>0.86694214876033038</v>
      </c>
      <c r="J45" s="14" t="str">
        <f t="shared" si="3"/>
        <v/>
      </c>
    </row>
    <row r="46" spans="1:10" ht="15" x14ac:dyDescent="0.2">
      <c r="A46" s="27"/>
      <c r="B46" s="24" t="s">
        <v>32</v>
      </c>
      <c r="C46" s="24" t="s">
        <v>385</v>
      </c>
      <c r="D46" s="25" t="s">
        <v>33</v>
      </c>
      <c r="E46" s="135">
        <v>137.5</v>
      </c>
      <c r="F46" s="106">
        <f>Activity!M27</f>
        <v>150</v>
      </c>
      <c r="G46" s="108">
        <f t="shared" si="1"/>
        <v>-12.5</v>
      </c>
      <c r="H46" s="30"/>
      <c r="I46" s="78">
        <f t="shared" si="2"/>
        <v>1.0909090909090908</v>
      </c>
      <c r="J46" s="14" t="str">
        <f t="shared" si="3"/>
        <v>Check</v>
      </c>
    </row>
    <row r="47" spans="1:10" ht="15" x14ac:dyDescent="0.2">
      <c r="A47" s="27"/>
      <c r="B47" s="24" t="s">
        <v>34</v>
      </c>
      <c r="C47" s="24" t="s">
        <v>385</v>
      </c>
      <c r="D47" s="25" t="s">
        <v>299</v>
      </c>
      <c r="E47" s="135">
        <v>500</v>
      </c>
      <c r="F47" s="106">
        <f>Activity!M31+Activity!I113+Activity!M166+Activity!M167</f>
        <v>385</v>
      </c>
      <c r="G47" s="108">
        <f t="shared" si="1"/>
        <v>115</v>
      </c>
      <c r="H47" s="73" t="s">
        <v>1028</v>
      </c>
      <c r="I47" s="78">
        <f t="shared" si="2"/>
        <v>0.77</v>
      </c>
      <c r="J47" s="14" t="str">
        <f t="shared" si="3"/>
        <v/>
      </c>
    </row>
    <row r="48" spans="1:10" x14ac:dyDescent="0.2">
      <c r="A48" s="32"/>
      <c r="B48" s="11"/>
      <c r="C48" s="11"/>
      <c r="D48" s="25"/>
      <c r="F48" s="106"/>
      <c r="G48" s="108"/>
      <c r="I48" s="78"/>
      <c r="J48" s="14" t="str">
        <f t="shared" si="3"/>
        <v/>
      </c>
    </row>
    <row r="49" spans="1:10" s="35" customFormat="1" ht="15" x14ac:dyDescent="0.2">
      <c r="A49" s="33"/>
      <c r="B49" s="34"/>
      <c r="C49" s="34"/>
      <c r="D49" s="34" t="s">
        <v>10</v>
      </c>
      <c r="E49" s="134">
        <f>SUM(E13:E47)</f>
        <v>30301.0412</v>
      </c>
      <c r="F49" s="389">
        <f t="shared" ref="F49:G49" si="4">SUM(F13:F48)</f>
        <v>26806.639999999996</v>
      </c>
      <c r="G49" s="134">
        <f t="shared" si="4"/>
        <v>3494.4012000000012</v>
      </c>
      <c r="I49" s="78">
        <f t="shared" ref="I49:I58" si="5">IFERROR(F49/E49,"")</f>
        <v>0.88467719056465943</v>
      </c>
      <c r="J49" s="14" t="str">
        <f t="shared" si="3"/>
        <v/>
      </c>
    </row>
    <row r="50" spans="1:10" x14ac:dyDescent="0.2">
      <c r="A50" s="36"/>
      <c r="B50" s="25"/>
      <c r="C50" s="25"/>
      <c r="D50" s="25"/>
      <c r="E50" s="135"/>
      <c r="F50" s="106"/>
      <c r="G50" s="136"/>
      <c r="I50" s="78" t="str">
        <f t="shared" si="5"/>
        <v/>
      </c>
      <c r="J50" s="14" t="str">
        <f t="shared" si="3"/>
        <v/>
      </c>
    </row>
    <row r="51" spans="1:10" s="39" customFormat="1" ht="18" x14ac:dyDescent="0.2">
      <c r="A51" s="37" t="s">
        <v>62</v>
      </c>
      <c r="B51" s="38"/>
      <c r="C51" s="38"/>
      <c r="D51" s="86"/>
      <c r="E51" s="137"/>
      <c r="F51" s="390"/>
      <c r="G51" s="138"/>
      <c r="I51" s="78" t="str">
        <f t="shared" si="5"/>
        <v/>
      </c>
      <c r="J51" s="14" t="str">
        <f t="shared" si="3"/>
        <v/>
      </c>
    </row>
    <row r="52" spans="1:10" ht="45" x14ac:dyDescent="0.2">
      <c r="A52" s="40" t="s">
        <v>63</v>
      </c>
      <c r="B52" s="25" t="s">
        <v>64</v>
      </c>
      <c r="C52" s="25"/>
      <c r="D52" s="25" t="s">
        <v>65</v>
      </c>
      <c r="E52" s="135">
        <v>0</v>
      </c>
      <c r="F52" s="391"/>
      <c r="G52" s="140">
        <f>E52-F52</f>
        <v>0</v>
      </c>
      <c r="I52" s="78" t="str">
        <f t="shared" si="5"/>
        <v/>
      </c>
      <c r="J52" s="14" t="str">
        <f t="shared" si="3"/>
        <v/>
      </c>
    </row>
    <row r="53" spans="1:10" ht="30" x14ac:dyDescent="0.2">
      <c r="A53" s="32"/>
      <c r="B53" s="25" t="s">
        <v>66</v>
      </c>
      <c r="C53" s="25"/>
      <c r="D53" s="25" t="s">
        <v>173</v>
      </c>
      <c r="E53" s="135">
        <v>0</v>
      </c>
      <c r="F53" s="391"/>
      <c r="G53" s="140">
        <f>E53-F53</f>
        <v>0</v>
      </c>
      <c r="H53" s="73"/>
      <c r="I53" s="78" t="str">
        <f t="shared" si="5"/>
        <v/>
      </c>
      <c r="J53" s="14" t="str">
        <f t="shared" si="3"/>
        <v/>
      </c>
    </row>
    <row r="54" spans="1:10" ht="15" x14ac:dyDescent="0.2">
      <c r="A54" s="32"/>
      <c r="B54" s="25" t="s">
        <v>67</v>
      </c>
      <c r="C54" s="25"/>
      <c r="D54" s="25" t="s">
        <v>300</v>
      </c>
      <c r="E54" s="135">
        <v>0</v>
      </c>
      <c r="F54" s="391"/>
      <c r="G54" s="140">
        <f>E54-F54</f>
        <v>0</v>
      </c>
      <c r="I54" s="78" t="str">
        <f t="shared" si="5"/>
        <v/>
      </c>
      <c r="J54" s="14" t="str">
        <f t="shared" si="3"/>
        <v/>
      </c>
    </row>
    <row r="55" spans="1:10" s="35" customFormat="1" ht="15" x14ac:dyDescent="0.2">
      <c r="A55" s="41"/>
      <c r="B55" s="42"/>
      <c r="C55" s="42"/>
      <c r="D55" s="34" t="s">
        <v>10</v>
      </c>
      <c r="E55" s="141">
        <f>SUM(E52:E54)</f>
        <v>0</v>
      </c>
      <c r="F55" s="392">
        <f>SUM(F52:F54)</f>
        <v>0</v>
      </c>
      <c r="G55" s="142">
        <f>E55-F55</f>
        <v>0</v>
      </c>
      <c r="H55" s="3"/>
      <c r="I55" s="78" t="str">
        <f t="shared" si="5"/>
        <v/>
      </c>
      <c r="J55" s="14" t="str">
        <f t="shared" si="3"/>
        <v/>
      </c>
    </row>
    <row r="56" spans="1:10" x14ac:dyDescent="0.2">
      <c r="A56" s="32"/>
      <c r="B56" s="24"/>
      <c r="C56" s="24"/>
      <c r="D56" s="25"/>
      <c r="E56" s="143"/>
      <c r="F56" s="106"/>
      <c r="G56" s="136"/>
      <c r="I56" s="78" t="str">
        <f t="shared" si="5"/>
        <v/>
      </c>
      <c r="J56" s="14" t="str">
        <f t="shared" si="3"/>
        <v/>
      </c>
    </row>
    <row r="57" spans="1:10" x14ac:dyDescent="0.2">
      <c r="A57" s="43" t="s">
        <v>68</v>
      </c>
      <c r="B57" s="24"/>
      <c r="C57" s="24"/>
      <c r="D57" s="25"/>
      <c r="E57" s="144">
        <v>2685</v>
      </c>
      <c r="F57" s="106"/>
      <c r="G57" s="136"/>
      <c r="I57" s="78">
        <f t="shared" si="5"/>
        <v>0</v>
      </c>
      <c r="J57" s="14" t="str">
        <f t="shared" si="3"/>
        <v>Underspend</v>
      </c>
    </row>
    <row r="58" spans="1:10" x14ac:dyDescent="0.2">
      <c r="A58" s="31"/>
      <c r="B58" s="24"/>
      <c r="C58" s="24"/>
      <c r="D58" s="25"/>
      <c r="E58" s="143"/>
      <c r="F58" s="106"/>
      <c r="G58" s="136"/>
      <c r="I58" s="78" t="str">
        <f t="shared" si="5"/>
        <v/>
      </c>
      <c r="J58" s="14" t="str">
        <f t="shared" si="3"/>
        <v/>
      </c>
    </row>
    <row r="59" spans="1:10" ht="16" x14ac:dyDescent="0.2">
      <c r="A59" s="44" t="s">
        <v>69</v>
      </c>
      <c r="B59" s="45"/>
      <c r="C59" s="124"/>
      <c r="D59" s="112"/>
      <c r="E59" s="234">
        <f>E10</f>
        <v>26850</v>
      </c>
      <c r="F59" s="177">
        <f>F10</f>
        <v>30154.67</v>
      </c>
      <c r="G59" s="136"/>
      <c r="I59" s="78"/>
      <c r="J59" s="14" t="str">
        <f t="shared" si="3"/>
        <v/>
      </c>
    </row>
    <row r="60" spans="1:10" ht="102" x14ac:dyDescent="0.2">
      <c r="A60" s="46" t="s">
        <v>70</v>
      </c>
      <c r="B60" s="45"/>
      <c r="C60" s="124"/>
      <c r="D60" s="112"/>
      <c r="E60" s="145">
        <f>E49+E55+E57</f>
        <v>32986.0412</v>
      </c>
      <c r="F60" s="393">
        <f>F49+F55+F57</f>
        <v>26806.639999999996</v>
      </c>
      <c r="G60" s="146">
        <f>E60-F60</f>
        <v>6179.4012000000039</v>
      </c>
      <c r="H60" s="383">
        <f>F60-F13-F14-F15-F16</f>
        <v>20085.159999999996</v>
      </c>
      <c r="I60" s="78">
        <f>IFERROR(F60/E60,"")</f>
        <v>0.81266617711009215</v>
      </c>
      <c r="J60" s="384">
        <f>H60-F66</f>
        <v>22870.349999999995</v>
      </c>
    </row>
    <row r="61" spans="1:10" s="49" customFormat="1" ht="39" thickBot="1" x14ac:dyDescent="0.25">
      <c r="A61" s="47" t="s">
        <v>71</v>
      </c>
      <c r="B61" s="48"/>
      <c r="C61" s="125"/>
      <c r="D61" s="113"/>
      <c r="E61" s="147">
        <f>E59-E60</f>
        <v>-6136.0411999999997</v>
      </c>
      <c r="F61" s="394">
        <f>F59-F60</f>
        <v>3348.0300000000025</v>
      </c>
      <c r="G61" s="95"/>
      <c r="I61" s="79"/>
    </row>
    <row r="62" spans="1:10" ht="15" thickBot="1" x14ac:dyDescent="0.25">
      <c r="D62" s="51"/>
      <c r="E62" s="51"/>
      <c r="F62" s="395"/>
      <c r="G62" s="117"/>
    </row>
    <row r="63" spans="1:10" s="54" customFormat="1" ht="16" thickBot="1" x14ac:dyDescent="0.25">
      <c r="A63" s="52" t="s">
        <v>72</v>
      </c>
      <c r="B63" s="53"/>
      <c r="C63" s="118"/>
      <c r="D63" s="118"/>
      <c r="E63" s="119">
        <f>E5/455.9</f>
        <v>58.126782189076557</v>
      </c>
      <c r="F63" s="396"/>
      <c r="G63" s="116"/>
      <c r="I63" s="80"/>
    </row>
    <row r="64" spans="1:10" s="54" customFormat="1" ht="15" x14ac:dyDescent="0.2">
      <c r="D64" s="87"/>
      <c r="F64" s="114"/>
      <c r="G64" s="96"/>
      <c r="I64" s="80"/>
    </row>
    <row r="65" spans="1:10" s="54" customFormat="1" ht="15" x14ac:dyDescent="0.2">
      <c r="A65" s="54" t="s">
        <v>73</v>
      </c>
      <c r="B65" s="56"/>
      <c r="C65" s="56"/>
      <c r="D65" s="87"/>
      <c r="E65" s="54" t="s">
        <v>74</v>
      </c>
      <c r="F65" s="114">
        <f>Activity!P23</f>
        <v>15187.070000000003</v>
      </c>
      <c r="G65" s="96"/>
      <c r="H65" s="317"/>
      <c r="I65" s="80"/>
    </row>
    <row r="66" spans="1:10" s="54" customFormat="1" ht="15" x14ac:dyDescent="0.2">
      <c r="B66" s="56"/>
      <c r="C66" s="56"/>
      <c r="D66" s="87"/>
      <c r="E66" s="54" t="s">
        <v>103</v>
      </c>
      <c r="F66" s="114">
        <f>-Activity!L229+Activity!L226</f>
        <v>-2785.1899999999996</v>
      </c>
      <c r="G66" s="96"/>
      <c r="H66" s="131" t="s">
        <v>1051</v>
      </c>
      <c r="I66" s="80"/>
    </row>
    <row r="67" spans="1:10" s="54" customFormat="1" ht="15" x14ac:dyDescent="0.2">
      <c r="B67" s="56"/>
      <c r="C67" s="56"/>
      <c r="D67" s="87"/>
      <c r="F67" s="114"/>
      <c r="G67" s="96"/>
      <c r="H67" s="62"/>
      <c r="I67" s="81"/>
    </row>
    <row r="68" spans="1:10" s="54" customFormat="1" ht="15" x14ac:dyDescent="0.2">
      <c r="B68" s="56"/>
      <c r="C68" s="56"/>
      <c r="D68" s="87"/>
      <c r="E68" s="54" t="s">
        <v>104</v>
      </c>
      <c r="F68" s="397">
        <f>F65+F10-F60--F55+F66</f>
        <v>15749.910000000011</v>
      </c>
      <c r="G68" s="96" t="s">
        <v>75</v>
      </c>
      <c r="H68" s="133" t="s">
        <v>1048</v>
      </c>
      <c r="I68" s="81"/>
    </row>
    <row r="69" spans="1:10" s="54" customFormat="1" ht="15" x14ac:dyDescent="0.2">
      <c r="B69" s="56"/>
      <c r="C69" s="56"/>
      <c r="D69" s="87"/>
      <c r="F69" s="398"/>
      <c r="G69" s="96"/>
      <c r="H69" s="131" t="s">
        <v>1029</v>
      </c>
      <c r="I69" s="80"/>
    </row>
    <row r="70" spans="1:10" ht="15" x14ac:dyDescent="0.2">
      <c r="A70" s="57"/>
      <c r="B70" s="56"/>
      <c r="C70" s="56"/>
      <c r="H70" s="131">
        <f>Activity!H203+Activity!H221+Activity!H223+Activity!H224+Activity!H225</f>
        <v>16023.44</v>
      </c>
    </row>
    <row r="71" spans="1:10" ht="15" x14ac:dyDescent="0.2">
      <c r="A71" s="57"/>
      <c r="B71" s="56"/>
      <c r="C71" s="56"/>
      <c r="H71" s="131">
        <f>-Activity!K215-Activity!K217-Activity!K218-Activity!K219-Activity!K220-Activity!K222-Activity!K226</f>
        <v>-1013.62</v>
      </c>
    </row>
    <row r="72" spans="1:10" ht="15" x14ac:dyDescent="0.2">
      <c r="H72" s="405">
        <f>F68+H70+H71</f>
        <v>30759.730000000014</v>
      </c>
      <c r="J72" s="383"/>
    </row>
    <row r="73" spans="1:10" ht="94" customHeight="1" x14ac:dyDescent="0.2">
      <c r="A73" s="406" t="s">
        <v>865</v>
      </c>
      <c r="B73" s="406"/>
      <c r="C73" s="406"/>
      <c r="D73" s="406"/>
      <c r="E73" s="406"/>
      <c r="F73" s="399"/>
      <c r="H73" s="13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3" priority="2" operator="containsText" text="Check">
      <formula>NOT(ISERROR(SEARCH("Check",J13)))</formula>
    </cfRule>
  </conditionalFormatting>
  <conditionalFormatting sqref="J13:J690">
    <cfRule type="containsText" dxfId="2" priority="1" operator="containsText" text="Underspend">
      <formula>NOT(ISERROR(SEARCH("Underspend",J13)))</formula>
    </cfRule>
  </conditionalFormatting>
  <printOptions gridLines="1"/>
  <pageMargins left="0.70000000000000007" right="0.70000000000000007" top="0.75000000000000011" bottom="0.75000000000000011" header="0.30000000000000004" footer="0.30000000000000004"/>
  <pageSetup paperSize="9" fitToHeight="0" orientation="landscape" r:id="rId1"/>
  <headerFooter>
    <oddFooter>&amp;L&amp;"Calibri,Regular"&amp;K000000&amp;A&amp;C&amp;"Calibri,Regular"&amp;K000000&amp;D</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F6B7B-2A41-A047-9F48-CD44B617484B}">
  <dimension ref="A1:D22"/>
  <sheetViews>
    <sheetView zoomScale="130" zoomScaleNormal="130" workbookViewId="0">
      <selection activeCell="D19" sqref="D19"/>
    </sheetView>
  </sheetViews>
  <sheetFormatPr baseColWidth="10" defaultRowHeight="15" x14ac:dyDescent="0.2"/>
  <cols>
    <col min="2" max="2" width="29" customWidth="1"/>
  </cols>
  <sheetData>
    <row r="1" spans="1:4" x14ac:dyDescent="0.2">
      <c r="A1" t="s">
        <v>954</v>
      </c>
    </row>
    <row r="3" spans="1:4" x14ac:dyDescent="0.2">
      <c r="A3" t="s">
        <v>902</v>
      </c>
      <c r="B3" s="55" t="s">
        <v>1007</v>
      </c>
      <c r="C3" s="55"/>
      <c r="D3" s="374">
        <f>'AGAR CheckCalcs'!D235</f>
        <v>15749.909999999996</v>
      </c>
    </row>
    <row r="4" spans="1:4" x14ac:dyDescent="0.2">
      <c r="B4" s="55"/>
      <c r="C4" s="55"/>
      <c r="D4" s="55"/>
    </row>
    <row r="5" spans="1:4" x14ac:dyDescent="0.2">
      <c r="B5" s="367" t="s">
        <v>904</v>
      </c>
      <c r="C5" s="55"/>
      <c r="D5" s="55"/>
    </row>
    <row r="6" spans="1:4" x14ac:dyDescent="0.2">
      <c r="B6" s="367"/>
      <c r="C6" s="55"/>
      <c r="D6" s="55">
        <v>0</v>
      </c>
    </row>
    <row r="7" spans="1:4" x14ac:dyDescent="0.2">
      <c r="B7" s="55"/>
      <c r="C7" s="55"/>
      <c r="D7" s="55"/>
    </row>
    <row r="8" spans="1:4" x14ac:dyDescent="0.2">
      <c r="B8" s="367" t="s">
        <v>905</v>
      </c>
      <c r="C8" s="55"/>
      <c r="D8" s="55"/>
    </row>
    <row r="9" spans="1:4" x14ac:dyDescent="0.2">
      <c r="B9" s="167" t="s">
        <v>936</v>
      </c>
      <c r="C9" s="55"/>
      <c r="D9" s="374">
        <f>'AGAR CheckCalcs'!C243</f>
        <v>539.38</v>
      </c>
    </row>
    <row r="10" spans="1:4" x14ac:dyDescent="0.2">
      <c r="B10" s="167" t="s">
        <v>937</v>
      </c>
      <c r="C10" s="55"/>
      <c r="D10" s="374">
        <f>'AGAR CheckCalcs'!C244</f>
        <v>16.23</v>
      </c>
    </row>
    <row r="11" spans="1:4" x14ac:dyDescent="0.2">
      <c r="B11" s="189" t="s">
        <v>1038</v>
      </c>
      <c r="C11" s="55"/>
      <c r="D11" s="374">
        <f>'AGAR CheckCalcs'!C245</f>
        <v>75.180000000000007</v>
      </c>
    </row>
    <row r="12" spans="1:4" x14ac:dyDescent="0.2">
      <c r="B12" s="189" t="s">
        <v>291</v>
      </c>
      <c r="C12" s="55"/>
      <c r="D12" s="374">
        <f>'AGAR CheckCalcs'!C246</f>
        <v>492</v>
      </c>
    </row>
    <row r="13" spans="1:4" x14ac:dyDescent="0.2">
      <c r="B13" s="189" t="s">
        <v>296</v>
      </c>
      <c r="C13" s="55"/>
      <c r="D13" s="374">
        <f>'AGAR CheckCalcs'!C247</f>
        <v>101.25</v>
      </c>
    </row>
    <row r="14" spans="1:4" x14ac:dyDescent="0.2">
      <c r="B14" s="189" t="s">
        <v>426</v>
      </c>
      <c r="C14" s="55"/>
      <c r="D14" s="374">
        <f>'AGAR CheckCalcs'!C248</f>
        <v>4.75</v>
      </c>
    </row>
    <row r="15" spans="1:4" x14ac:dyDescent="0.2">
      <c r="B15" s="189" t="s">
        <v>426</v>
      </c>
      <c r="C15" s="55"/>
      <c r="D15" s="374">
        <f>'AGAR CheckCalcs'!C249</f>
        <v>7.99</v>
      </c>
    </row>
    <row r="16" spans="1:4" x14ac:dyDescent="0.2">
      <c r="B16" s="189" t="s">
        <v>577</v>
      </c>
      <c r="C16" s="55"/>
      <c r="D16" s="374">
        <f>'AGAR CheckCalcs'!C250</f>
        <v>1041.08</v>
      </c>
    </row>
    <row r="17" spans="1:4" x14ac:dyDescent="0.2">
      <c r="B17" s="55"/>
      <c r="C17" s="55"/>
      <c r="D17" s="55"/>
    </row>
    <row r="18" spans="1:4" x14ac:dyDescent="0.2">
      <c r="B18" s="55" t="s">
        <v>1008</v>
      </c>
      <c r="C18" s="55"/>
      <c r="D18" s="374">
        <f>D3-D6+D9+D10+D11+D12+D13+D14+D15+D16</f>
        <v>18027.769999999997</v>
      </c>
    </row>
    <row r="19" spans="1:4" x14ac:dyDescent="0.2">
      <c r="B19" s="55"/>
      <c r="C19" s="55"/>
      <c r="D19" s="55"/>
    </row>
    <row r="20" spans="1:4" x14ac:dyDescent="0.2">
      <c r="A20" t="s">
        <v>906</v>
      </c>
      <c r="B20" s="55" t="s">
        <v>1009</v>
      </c>
      <c r="C20" s="55"/>
      <c r="D20" s="374">
        <f>'Bank Rec'!D24</f>
        <v>18027.77</v>
      </c>
    </row>
    <row r="21" spans="1:4" x14ac:dyDescent="0.2">
      <c r="B21" s="55"/>
      <c r="C21" s="55"/>
      <c r="D21" s="55"/>
    </row>
    <row r="22" spans="1:4" x14ac:dyDescent="0.2">
      <c r="B22" s="55"/>
      <c r="C22" s="55" t="s">
        <v>1010</v>
      </c>
      <c r="D22" s="55">
        <v>0</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0133D-C860-9443-A2B3-F0B3F6BE3B49}">
  <dimension ref="A1:F6"/>
  <sheetViews>
    <sheetView zoomScale="140" zoomScaleNormal="140" workbookViewId="0">
      <selection activeCell="H22" sqref="H22"/>
    </sheetView>
  </sheetViews>
  <sheetFormatPr baseColWidth="10" defaultRowHeight="15" x14ac:dyDescent="0.2"/>
  <cols>
    <col min="6" max="6" width="30.6640625" customWidth="1"/>
  </cols>
  <sheetData>
    <row r="1" spans="1:6" x14ac:dyDescent="0.2">
      <c r="A1" t="s">
        <v>954</v>
      </c>
    </row>
    <row r="3" spans="1:6" x14ac:dyDescent="0.2">
      <c r="A3" t="s">
        <v>978</v>
      </c>
      <c r="B3" t="s">
        <v>979</v>
      </c>
    </row>
    <row r="5" spans="1:6" x14ac:dyDescent="0.2">
      <c r="C5" s="55" t="s">
        <v>956</v>
      </c>
      <c r="D5" s="55" t="s">
        <v>1011</v>
      </c>
      <c r="E5" s="55" t="s">
        <v>984</v>
      </c>
      <c r="F5" s="55" t="s">
        <v>985</v>
      </c>
    </row>
    <row r="6" spans="1:6" ht="16" x14ac:dyDescent="0.2">
      <c r="C6" s="370">
        <v>72081</v>
      </c>
      <c r="D6" s="370">
        <v>72081</v>
      </c>
      <c r="E6" s="370">
        <f>D6-C6</f>
        <v>0</v>
      </c>
      <c r="F6" s="110" t="s">
        <v>1034</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3"/>
  <sheetViews>
    <sheetView topLeftCell="A29" zoomScale="130" zoomScaleNormal="130" workbookViewId="0">
      <selection activeCell="F43" sqref="F43"/>
    </sheetView>
  </sheetViews>
  <sheetFormatPr baseColWidth="10" defaultRowHeight="15" x14ac:dyDescent="0.2"/>
  <cols>
    <col min="1" max="1" width="6.1640625" style="60" customWidth="1"/>
    <col min="2" max="2" width="65.6640625" style="60" customWidth="1"/>
    <col min="3" max="3" width="18.6640625" style="67" customWidth="1"/>
    <col min="4" max="4" width="15.83203125" style="67" customWidth="1"/>
    <col min="5" max="5" width="13" style="60" customWidth="1"/>
    <col min="6" max="6" width="14.5" style="60" customWidth="1"/>
    <col min="7" max="7" width="3.1640625" style="60" customWidth="1"/>
    <col min="8" max="8" width="65.33203125" style="66" customWidth="1"/>
    <col min="9" max="10" width="10.83203125" style="169"/>
    <col min="11" max="16384" width="10.83203125" style="60"/>
  </cols>
  <sheetData>
    <row r="2" spans="2:10" s="66" customFormat="1" ht="18" x14ac:dyDescent="0.2">
      <c r="B2" s="187" t="s">
        <v>603</v>
      </c>
      <c r="C2" s="186"/>
      <c r="D2" s="186"/>
      <c r="E2" s="185"/>
      <c r="F2" s="185"/>
      <c r="G2" s="185"/>
      <c r="I2" s="169"/>
      <c r="J2" s="169"/>
    </row>
    <row r="3" spans="2:10" s="66" customFormat="1" x14ac:dyDescent="0.2">
      <c r="B3" s="185"/>
      <c r="C3" s="186"/>
      <c r="D3" s="186"/>
      <c r="E3" s="185"/>
      <c r="F3" s="185"/>
      <c r="G3" s="185"/>
      <c r="I3" s="169"/>
      <c r="J3" s="169"/>
    </row>
    <row r="4" spans="2:10" s="66" customFormat="1" ht="20" customHeight="1" x14ac:dyDescent="0.2">
      <c r="B4" s="171" t="s">
        <v>602</v>
      </c>
      <c r="C4" s="173"/>
      <c r="D4" s="173"/>
      <c r="E4" s="171"/>
      <c r="F4" s="171"/>
      <c r="G4" s="171"/>
      <c r="I4" s="169"/>
      <c r="J4" s="169"/>
    </row>
    <row r="5" spans="2:10" s="66" customFormat="1" ht="20" customHeight="1" x14ac:dyDescent="0.2">
      <c r="B5" s="171"/>
      <c r="C5" s="173"/>
      <c r="D5" s="173"/>
      <c r="E5" s="171"/>
      <c r="F5" s="171"/>
      <c r="G5" s="171"/>
      <c r="I5" s="169"/>
      <c r="J5" s="169"/>
    </row>
    <row r="6" spans="2:10" s="66" customFormat="1" ht="20" customHeight="1" x14ac:dyDescent="0.2">
      <c r="B6" s="171" t="s">
        <v>908</v>
      </c>
      <c r="C6" s="173"/>
      <c r="D6" s="173"/>
      <c r="E6" s="171"/>
      <c r="F6" s="171"/>
      <c r="G6" s="171"/>
      <c r="I6" s="169"/>
      <c r="J6" s="169"/>
    </row>
    <row r="7" spans="2:10" s="66" customFormat="1" ht="20" customHeight="1" x14ac:dyDescent="0.2">
      <c r="B7" s="171"/>
      <c r="C7" s="173"/>
      <c r="D7" s="173"/>
      <c r="E7" s="171"/>
      <c r="F7" s="171"/>
      <c r="G7" s="171"/>
      <c r="I7" s="169"/>
      <c r="J7" s="169"/>
    </row>
    <row r="8" spans="2:10" s="66" customFormat="1" ht="20" customHeight="1" x14ac:dyDescent="0.2">
      <c r="B8" s="171" t="s">
        <v>909</v>
      </c>
      <c r="C8" s="173"/>
      <c r="D8" s="173"/>
      <c r="E8" s="171"/>
      <c r="F8" s="171"/>
      <c r="G8" s="171"/>
      <c r="I8" s="169"/>
      <c r="J8" s="169"/>
    </row>
    <row r="9" spans="2:10" s="66" customFormat="1" ht="20" customHeight="1" x14ac:dyDescent="0.2">
      <c r="B9" s="171"/>
      <c r="C9" s="173"/>
      <c r="D9" s="173"/>
      <c r="E9" s="171"/>
      <c r="F9" s="171"/>
      <c r="G9" s="171"/>
      <c r="I9" s="169"/>
      <c r="J9" s="169"/>
    </row>
    <row r="10" spans="2:10" s="66" customFormat="1" ht="20" customHeight="1" x14ac:dyDescent="0.2">
      <c r="B10" s="180" t="s">
        <v>910</v>
      </c>
      <c r="C10" s="179"/>
      <c r="D10" s="179"/>
      <c r="E10" s="171"/>
      <c r="F10" s="171"/>
      <c r="G10" s="171"/>
      <c r="I10" s="169"/>
      <c r="J10" s="169"/>
    </row>
    <row r="11" spans="2:10" s="66" customFormat="1" ht="20" customHeight="1" x14ac:dyDescent="0.2">
      <c r="B11" s="180" t="s">
        <v>601</v>
      </c>
      <c r="C11" s="179"/>
      <c r="D11" s="177">
        <v>18027.77</v>
      </c>
      <c r="E11" s="171"/>
      <c r="F11" s="171"/>
      <c r="G11" s="171"/>
      <c r="I11" s="169"/>
      <c r="J11" s="169"/>
    </row>
    <row r="12" spans="2:10" s="66" customFormat="1" ht="20" customHeight="1" x14ac:dyDescent="0.2">
      <c r="B12" s="180"/>
      <c r="C12" s="179"/>
      <c r="D12" s="179"/>
      <c r="E12" s="171"/>
      <c r="F12" s="171"/>
      <c r="G12" s="171"/>
      <c r="I12" s="169"/>
      <c r="J12" s="169"/>
    </row>
    <row r="13" spans="2:10" s="66" customFormat="1" ht="20" customHeight="1" x14ac:dyDescent="0.2">
      <c r="B13" s="180" t="s">
        <v>911</v>
      </c>
      <c r="C13" s="179"/>
      <c r="D13" s="179">
        <v>0</v>
      </c>
      <c r="E13" s="171"/>
      <c r="F13" s="171"/>
      <c r="G13" s="171"/>
      <c r="I13" s="169"/>
      <c r="J13" s="169"/>
    </row>
    <row r="14" spans="2:10" s="66" customFormat="1" ht="20" customHeight="1" x14ac:dyDescent="0.2">
      <c r="B14" s="55"/>
      <c r="C14" s="179"/>
      <c r="D14" s="179"/>
      <c r="E14" s="171"/>
      <c r="F14" s="171"/>
      <c r="G14" s="171"/>
      <c r="I14" s="169"/>
      <c r="J14" s="169"/>
    </row>
    <row r="15" spans="2:10" s="66" customFormat="1" ht="20" customHeight="1" x14ac:dyDescent="0.2">
      <c r="B15" s="180" t="s">
        <v>912</v>
      </c>
      <c r="C15" s="179"/>
      <c r="D15" s="179">
        <f>SUM(C14:C15)</f>
        <v>0</v>
      </c>
      <c r="E15" s="171"/>
      <c r="F15" s="171"/>
      <c r="G15" s="171"/>
      <c r="I15" s="169"/>
      <c r="J15" s="169"/>
    </row>
    <row r="16" spans="2:10" s="66" customFormat="1" ht="20" customHeight="1" x14ac:dyDescent="0.2">
      <c r="B16" s="184"/>
      <c r="C16" s="179"/>
      <c r="D16" s="183"/>
      <c r="E16" s="171"/>
      <c r="F16" s="171"/>
      <c r="G16" s="171"/>
      <c r="I16" s="169"/>
      <c r="J16" s="169"/>
    </row>
    <row r="17" spans="2:10" s="66" customFormat="1" ht="20" customHeight="1" thickBot="1" x14ac:dyDescent="0.25">
      <c r="B17" s="178" t="s">
        <v>913</v>
      </c>
      <c r="C17" s="177"/>
      <c r="D17" s="176">
        <f>SUM(D11:D16)</f>
        <v>18027.77</v>
      </c>
      <c r="E17" s="171"/>
      <c r="F17" s="171"/>
      <c r="G17" s="171"/>
      <c r="I17" s="169"/>
      <c r="J17" s="169"/>
    </row>
    <row r="18" spans="2:10" s="66" customFormat="1" ht="20" customHeight="1" thickTop="1" x14ac:dyDescent="0.2">
      <c r="B18" s="180"/>
      <c r="C18" s="179"/>
      <c r="D18" s="182"/>
      <c r="E18" s="171"/>
      <c r="F18" s="171"/>
      <c r="G18" s="171"/>
      <c r="I18" s="169"/>
      <c r="J18" s="169"/>
    </row>
    <row r="19" spans="2:10" s="66" customFormat="1" ht="34" customHeight="1" x14ac:dyDescent="0.2">
      <c r="B19" s="181" t="s">
        <v>600</v>
      </c>
      <c r="C19" s="179"/>
      <c r="D19" s="179"/>
      <c r="E19" s="171"/>
      <c r="F19" s="171"/>
      <c r="G19" s="171"/>
      <c r="I19" s="169"/>
      <c r="J19" s="169"/>
    </row>
    <row r="20" spans="2:10" s="66" customFormat="1" ht="20" customHeight="1" x14ac:dyDescent="0.2">
      <c r="B20" s="180" t="s">
        <v>599</v>
      </c>
      <c r="C20" s="179"/>
      <c r="D20" s="179"/>
      <c r="E20" s="171"/>
      <c r="F20" s="171"/>
      <c r="G20" s="171"/>
      <c r="I20" s="169"/>
      <c r="J20" s="169"/>
    </row>
    <row r="21" spans="2:10" s="66" customFormat="1" ht="20" customHeight="1" x14ac:dyDescent="0.2">
      <c r="B21" s="180" t="s">
        <v>605</v>
      </c>
      <c r="C21" s="179"/>
      <c r="D21" s="179">
        <v>15187.07</v>
      </c>
      <c r="E21" s="171"/>
      <c r="F21" s="171"/>
      <c r="G21" s="171"/>
      <c r="I21" s="169"/>
      <c r="J21" s="169"/>
    </row>
    <row r="22" spans="2:10" s="66" customFormat="1" ht="20" customHeight="1" x14ac:dyDescent="0.2">
      <c r="B22" s="180" t="s">
        <v>598</v>
      </c>
      <c r="C22" s="179"/>
      <c r="D22" s="179">
        <f>-E41</f>
        <v>-27313.969999999998</v>
      </c>
      <c r="E22" s="171"/>
      <c r="F22" s="171"/>
      <c r="G22" s="171"/>
      <c r="I22" s="169"/>
      <c r="J22" s="169"/>
    </row>
    <row r="23" spans="2:10" s="66" customFormat="1" ht="20" customHeight="1" x14ac:dyDescent="0.2">
      <c r="B23" s="180" t="s">
        <v>597</v>
      </c>
      <c r="C23" s="179"/>
      <c r="D23" s="179">
        <f>D41</f>
        <v>30154.67</v>
      </c>
      <c r="E23" s="171"/>
      <c r="F23" s="171"/>
      <c r="G23" s="171"/>
      <c r="I23" s="169"/>
      <c r="J23" s="169"/>
    </row>
    <row r="24" spans="2:10" s="68" customFormat="1" ht="20" customHeight="1" thickBot="1" x14ac:dyDescent="0.25">
      <c r="B24" s="178" t="s">
        <v>596</v>
      </c>
      <c r="C24" s="177"/>
      <c r="D24" s="176">
        <f>SUM(D21:D23)</f>
        <v>18027.77</v>
      </c>
      <c r="E24" s="175"/>
      <c r="F24" s="175"/>
      <c r="G24" s="175"/>
    </row>
    <row r="25" spans="2:10" s="66" customFormat="1" ht="17" thickTop="1" x14ac:dyDescent="0.2">
      <c r="B25" s="171"/>
      <c r="C25" s="173"/>
      <c r="D25" s="173"/>
      <c r="E25" s="171"/>
      <c r="F25" s="171"/>
      <c r="G25" s="171"/>
      <c r="I25" s="169"/>
      <c r="J25" s="169"/>
    </row>
    <row r="26" spans="2:10" s="66" customFormat="1" ht="16" x14ac:dyDescent="0.2">
      <c r="B26" s="171"/>
      <c r="C26" s="171" t="s">
        <v>595</v>
      </c>
      <c r="D26" s="66" t="s">
        <v>594</v>
      </c>
      <c r="E26" s="66" t="s">
        <v>593</v>
      </c>
      <c r="G26" s="60"/>
      <c r="I26" s="169"/>
      <c r="J26" s="169"/>
    </row>
    <row r="27" spans="2:10" s="66" customFormat="1" ht="16" x14ac:dyDescent="0.2">
      <c r="B27" s="171"/>
      <c r="C27" s="174">
        <v>45748</v>
      </c>
      <c r="D27" s="318">
        <v>14364.88</v>
      </c>
      <c r="E27" s="318">
        <v>3190.85</v>
      </c>
      <c r="F27" s="170"/>
      <c r="G27" s="60"/>
      <c r="I27" s="169"/>
      <c r="J27" s="169"/>
    </row>
    <row r="28" spans="2:10" s="66" customFormat="1" ht="16" x14ac:dyDescent="0.2">
      <c r="B28" s="171"/>
      <c r="C28" s="174">
        <f>C27+30</f>
        <v>45778</v>
      </c>
      <c r="D28" s="318">
        <v>0</v>
      </c>
      <c r="E28" s="318">
        <v>1795.07</v>
      </c>
      <c r="F28" s="170"/>
      <c r="G28" s="60"/>
      <c r="I28" s="169"/>
      <c r="J28" s="169"/>
    </row>
    <row r="29" spans="2:10" s="66" customFormat="1" ht="16" x14ac:dyDescent="0.2">
      <c r="B29" s="171"/>
      <c r="C29" s="174">
        <f>C28+31</f>
        <v>45809</v>
      </c>
      <c r="D29" s="318">
        <v>0</v>
      </c>
      <c r="E29" s="318">
        <v>2765.65</v>
      </c>
      <c r="F29" s="170"/>
      <c r="G29" s="60"/>
      <c r="I29" s="169"/>
      <c r="J29" s="169"/>
    </row>
    <row r="30" spans="2:10" s="66" customFormat="1" ht="16" x14ac:dyDescent="0.2">
      <c r="B30" s="171"/>
      <c r="C30" s="174">
        <f t="shared" ref="C30:C38" si="0">C29+31</f>
        <v>45840</v>
      </c>
      <c r="D30" s="318">
        <v>0</v>
      </c>
      <c r="E30" s="318">
        <v>3640.99</v>
      </c>
      <c r="F30" s="170"/>
      <c r="G30" s="60"/>
      <c r="I30" s="169"/>
      <c r="J30" s="169"/>
    </row>
    <row r="31" spans="2:10" s="66" customFormat="1" ht="16" x14ac:dyDescent="0.2">
      <c r="B31" s="171"/>
      <c r="C31" s="174">
        <f t="shared" si="0"/>
        <v>45871</v>
      </c>
      <c r="D31" s="318">
        <v>0</v>
      </c>
      <c r="E31" s="318">
        <v>334.25</v>
      </c>
      <c r="F31" s="170"/>
      <c r="G31" s="60"/>
      <c r="I31" s="169"/>
      <c r="J31" s="169"/>
    </row>
    <row r="32" spans="2:10" s="66" customFormat="1" ht="16" x14ac:dyDescent="0.2">
      <c r="B32" s="171"/>
      <c r="C32" s="174">
        <f t="shared" si="0"/>
        <v>45902</v>
      </c>
      <c r="D32" s="318">
        <v>13605</v>
      </c>
      <c r="E32" s="318">
        <v>3171.82</v>
      </c>
      <c r="F32" s="170"/>
      <c r="G32" s="60"/>
      <c r="I32" s="169"/>
      <c r="J32" s="169"/>
    </row>
    <row r="33" spans="2:6" ht="16" x14ac:dyDescent="0.2">
      <c r="B33" s="171"/>
      <c r="C33" s="174">
        <f t="shared" si="0"/>
        <v>45933</v>
      </c>
      <c r="D33" s="318">
        <v>120</v>
      </c>
      <c r="E33" s="318">
        <v>1598.43</v>
      </c>
      <c r="F33" s="170"/>
    </row>
    <row r="34" spans="2:6" ht="16" x14ac:dyDescent="0.2">
      <c r="B34" s="171"/>
      <c r="C34" s="174">
        <f t="shared" si="0"/>
        <v>45964</v>
      </c>
      <c r="D34" s="318">
        <v>311</v>
      </c>
      <c r="E34" s="318">
        <v>2746.64</v>
      </c>
      <c r="F34" s="170"/>
    </row>
    <row r="35" spans="2:6" ht="16" x14ac:dyDescent="0.2">
      <c r="B35" s="171"/>
      <c r="C35" s="174">
        <f t="shared" si="0"/>
        <v>45995</v>
      </c>
      <c r="D35" s="318">
        <v>150</v>
      </c>
      <c r="E35" s="318">
        <v>3556.38</v>
      </c>
      <c r="F35" s="170"/>
    </row>
    <row r="36" spans="2:6" ht="16" x14ac:dyDescent="0.2">
      <c r="B36" s="171"/>
      <c r="C36" s="174">
        <f t="shared" si="0"/>
        <v>46026</v>
      </c>
      <c r="D36" s="318">
        <v>1988.79</v>
      </c>
      <c r="E36" s="318">
        <v>1877.31</v>
      </c>
      <c r="F36" s="170"/>
    </row>
    <row r="37" spans="2:6" ht="16" x14ac:dyDescent="0.2">
      <c r="B37" s="171"/>
      <c r="C37" s="174">
        <f t="shared" si="0"/>
        <v>46057</v>
      </c>
      <c r="D37" s="318">
        <v>0</v>
      </c>
      <c r="E37" s="318">
        <v>3101.97</v>
      </c>
      <c r="F37" s="170"/>
    </row>
    <row r="38" spans="2:6" ht="16" x14ac:dyDescent="0.2">
      <c r="B38" s="171"/>
      <c r="C38" s="174">
        <f t="shared" si="0"/>
        <v>46088</v>
      </c>
      <c r="D38" s="318">
        <v>0</v>
      </c>
      <c r="E38" s="318">
        <v>1280.76</v>
      </c>
      <c r="F38" s="170"/>
    </row>
    <row r="39" spans="2:6" ht="17" thickBot="1" x14ac:dyDescent="0.25">
      <c r="B39" s="171"/>
      <c r="C39" s="171"/>
      <c r="D39" s="319">
        <f>SUM(D27:D38)</f>
        <v>30539.67</v>
      </c>
      <c r="E39" s="319">
        <f>SUM(E27:E38)</f>
        <v>29060.12</v>
      </c>
      <c r="F39" s="172">
        <f>D39-E39</f>
        <v>1479.5499999999993</v>
      </c>
    </row>
    <row r="40" spans="2:6" ht="17" thickBot="1" x14ac:dyDescent="0.25">
      <c r="B40" s="171"/>
      <c r="C40" s="171" t="s">
        <v>916</v>
      </c>
      <c r="D40" s="319">
        <f>SUM('AGAR CheckCalcs'!H5:H21)</f>
        <v>385</v>
      </c>
      <c r="E40" s="319">
        <f>SUM('AGAR CheckCalcs'!I5:I21)</f>
        <v>1746.15</v>
      </c>
      <c r="F40" s="170"/>
    </row>
    <row r="41" spans="2:6" ht="16" x14ac:dyDescent="0.2">
      <c r="D41" s="318">
        <f>D39-D40</f>
        <v>30154.67</v>
      </c>
      <c r="E41" s="318">
        <f>E39-E40</f>
        <v>27313.969999999998</v>
      </c>
    </row>
    <row r="43" spans="2:6" x14ac:dyDescent="0.2">
      <c r="F43" s="66"/>
    </row>
  </sheetData>
  <pageMargins left="0.7" right="0.7" top="0.75" bottom="0.75" header="0.3" footer="0.3"/>
  <pageSetup paperSize="9" scale="90" fitToHeight="0"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A4:L70"/>
  <sheetViews>
    <sheetView zoomScaleNormal="100" workbookViewId="0">
      <pane xSplit="3" ySplit="4" topLeftCell="D17" activePane="bottomRight" state="frozen"/>
      <selection pane="topRight" activeCell="D1" sqref="D1"/>
      <selection pane="bottomLeft" activeCell="A5" sqref="A5"/>
      <selection pane="bottomRight" activeCell="J35" sqref="J35"/>
    </sheetView>
  </sheetViews>
  <sheetFormatPr baseColWidth="10" defaultRowHeight="18" x14ac:dyDescent="0.2"/>
  <cols>
    <col min="1" max="2" width="10.83203125" style="151"/>
    <col min="3" max="3" width="58.1640625" style="151" customWidth="1"/>
    <col min="4" max="4" width="16" style="151" customWidth="1"/>
    <col min="5" max="8" width="12.6640625" style="151" customWidth="1"/>
    <col min="9" max="9" width="13.33203125" style="151" customWidth="1"/>
    <col min="10" max="10" width="17.6640625" style="151" customWidth="1"/>
    <col min="11" max="12" width="12.5" style="151" customWidth="1"/>
    <col min="13" max="16384" width="10.83203125" style="151"/>
  </cols>
  <sheetData>
    <row r="4" spans="1:12" ht="57" x14ac:dyDescent="0.2">
      <c r="A4" s="152"/>
      <c r="B4" s="148" t="s">
        <v>81</v>
      </c>
      <c r="C4" s="148" t="s">
        <v>102</v>
      </c>
      <c r="D4" s="148" t="s">
        <v>84</v>
      </c>
      <c r="E4" s="148" t="s">
        <v>85</v>
      </c>
      <c r="F4" s="148" t="s">
        <v>87</v>
      </c>
      <c r="G4" s="148" t="s">
        <v>88</v>
      </c>
      <c r="H4" s="148" t="s">
        <v>89</v>
      </c>
      <c r="I4" s="148" t="s">
        <v>688</v>
      </c>
      <c r="J4" s="148" t="s">
        <v>419</v>
      </c>
      <c r="K4" s="243" t="s">
        <v>691</v>
      </c>
      <c r="L4" s="243" t="s">
        <v>689</v>
      </c>
    </row>
    <row r="5" spans="1:12" x14ac:dyDescent="0.2">
      <c r="A5" s="152"/>
      <c r="B5" s="246">
        <v>44986</v>
      </c>
      <c r="C5" s="247" t="s">
        <v>432</v>
      </c>
      <c r="D5" s="247" t="s">
        <v>156</v>
      </c>
      <c r="E5" s="248"/>
      <c r="F5" s="248">
        <v>134.19999999999999</v>
      </c>
      <c r="G5" s="248"/>
      <c r="H5" s="248">
        <f>F5-G5</f>
        <v>134.19999999999999</v>
      </c>
      <c r="I5" s="249"/>
      <c r="J5" s="250"/>
      <c r="K5" s="250"/>
      <c r="L5" s="250"/>
    </row>
    <row r="6" spans="1:12" x14ac:dyDescent="0.2">
      <c r="A6" s="152"/>
      <c r="B6" s="149">
        <v>45170</v>
      </c>
      <c r="C6" s="150" t="s">
        <v>437</v>
      </c>
      <c r="D6" s="150" t="s">
        <v>156</v>
      </c>
      <c r="E6" s="153"/>
      <c r="F6" s="153">
        <v>20</v>
      </c>
      <c r="G6" s="153">
        <v>0</v>
      </c>
      <c r="H6" s="153">
        <f t="shared" ref="H6:H35" si="0">F6-G6</f>
        <v>20</v>
      </c>
      <c r="I6" s="157"/>
      <c r="J6" s="152">
        <v>35</v>
      </c>
      <c r="K6" s="245">
        <f>(E6-SUM(H6:H9))/J6</f>
        <v>-10.220571428571427</v>
      </c>
      <c r="L6" s="245">
        <f>K6*J6</f>
        <v>-357.71999999999991</v>
      </c>
    </row>
    <row r="7" spans="1:12" x14ac:dyDescent="0.2">
      <c r="A7" s="152"/>
      <c r="B7" s="149">
        <v>45170</v>
      </c>
      <c r="C7" s="150" t="s">
        <v>438</v>
      </c>
      <c r="D7" s="150" t="s">
        <v>156</v>
      </c>
      <c r="E7" s="153"/>
      <c r="F7" s="153">
        <v>238.55</v>
      </c>
      <c r="G7" s="153">
        <v>0</v>
      </c>
      <c r="H7" s="153">
        <f t="shared" si="0"/>
        <v>238.55</v>
      </c>
      <c r="I7" s="157"/>
      <c r="J7" s="152"/>
      <c r="K7" s="152"/>
      <c r="L7" s="245"/>
    </row>
    <row r="8" spans="1:12" x14ac:dyDescent="0.2">
      <c r="A8" s="152"/>
      <c r="B8" s="149">
        <v>45170</v>
      </c>
      <c r="C8" s="150" t="s">
        <v>430</v>
      </c>
      <c r="D8" s="150" t="s">
        <v>156</v>
      </c>
      <c r="E8" s="153"/>
      <c r="F8" s="153">
        <v>24.42</v>
      </c>
      <c r="G8" s="153">
        <v>4.08</v>
      </c>
      <c r="H8" s="153">
        <f t="shared" si="0"/>
        <v>20.340000000000003</v>
      </c>
      <c r="I8" s="157"/>
      <c r="J8" s="152"/>
      <c r="K8" s="152"/>
      <c r="L8" s="245"/>
    </row>
    <row r="9" spans="1:12" x14ac:dyDescent="0.2">
      <c r="A9" s="152"/>
      <c r="B9" s="149">
        <v>45170</v>
      </c>
      <c r="C9" s="150" t="s">
        <v>431</v>
      </c>
      <c r="D9" s="150" t="s">
        <v>156</v>
      </c>
      <c r="E9" s="153"/>
      <c r="F9" s="153">
        <v>80.83</v>
      </c>
      <c r="G9" s="153">
        <v>2</v>
      </c>
      <c r="H9" s="153">
        <f t="shared" si="0"/>
        <v>78.83</v>
      </c>
      <c r="I9" s="157"/>
      <c r="J9" s="152"/>
      <c r="K9" s="152"/>
      <c r="L9" s="245"/>
    </row>
    <row r="10" spans="1:12" x14ac:dyDescent="0.2">
      <c r="A10" s="152"/>
      <c r="B10" s="162">
        <v>45261</v>
      </c>
      <c r="C10" s="163" t="s">
        <v>433</v>
      </c>
      <c r="D10" s="163" t="s">
        <v>156</v>
      </c>
      <c r="E10" s="164"/>
      <c r="F10" s="164">
        <v>200</v>
      </c>
      <c r="G10" s="164">
        <v>0</v>
      </c>
      <c r="H10" s="164">
        <f t="shared" si="0"/>
        <v>200</v>
      </c>
      <c r="I10" s="165"/>
      <c r="J10" s="242">
        <v>37</v>
      </c>
      <c r="K10" s="240">
        <f>(E12-SUM(H10:H13))/J10</f>
        <v>-6.4081081081081077</v>
      </c>
      <c r="L10" s="240">
        <f t="shared" ref="L10:L28" si="1">K10*J10</f>
        <v>-237.1</v>
      </c>
    </row>
    <row r="11" spans="1:12" x14ac:dyDescent="0.2">
      <c r="A11" s="152"/>
      <c r="B11" s="162">
        <v>45261</v>
      </c>
      <c r="C11" s="163" t="s">
        <v>434</v>
      </c>
      <c r="D11" s="163" t="s">
        <v>156</v>
      </c>
      <c r="E11" s="164"/>
      <c r="F11" s="164">
        <v>92.65</v>
      </c>
      <c r="G11" s="164">
        <v>1.33</v>
      </c>
      <c r="H11" s="164">
        <f t="shared" si="0"/>
        <v>91.320000000000007</v>
      </c>
      <c r="I11" s="165"/>
      <c r="J11" s="242"/>
      <c r="K11" s="242"/>
      <c r="L11" s="240"/>
    </row>
    <row r="12" spans="1:12" x14ac:dyDescent="0.2">
      <c r="A12" s="152"/>
      <c r="B12" s="162">
        <v>45261</v>
      </c>
      <c r="C12" s="163" t="s">
        <v>435</v>
      </c>
      <c r="D12" s="163" t="s">
        <v>9</v>
      </c>
      <c r="E12" s="164">
        <v>74.22</v>
      </c>
      <c r="F12" s="164">
        <v>0</v>
      </c>
      <c r="G12" s="164">
        <v>0</v>
      </c>
      <c r="H12" s="164">
        <f t="shared" si="0"/>
        <v>0</v>
      </c>
      <c r="I12" s="165"/>
      <c r="J12" s="242"/>
      <c r="K12" s="242"/>
      <c r="L12" s="240"/>
    </row>
    <row r="13" spans="1:12" x14ac:dyDescent="0.2">
      <c r="A13" s="152"/>
      <c r="B13" s="162">
        <v>45261</v>
      </c>
      <c r="C13" s="163" t="s">
        <v>436</v>
      </c>
      <c r="D13" s="163" t="s">
        <v>156</v>
      </c>
      <c r="E13" s="164"/>
      <c r="F13" s="164">
        <v>20</v>
      </c>
      <c r="G13" s="164">
        <v>0</v>
      </c>
      <c r="H13" s="164">
        <f t="shared" si="0"/>
        <v>20</v>
      </c>
      <c r="I13" s="165"/>
      <c r="J13" s="242"/>
      <c r="K13" s="242"/>
      <c r="L13" s="240"/>
    </row>
    <row r="14" spans="1:12" ht="38" x14ac:dyDescent="0.2">
      <c r="A14" s="152"/>
      <c r="B14" s="149">
        <v>45376</v>
      </c>
      <c r="C14" s="150" t="s">
        <v>457</v>
      </c>
      <c r="D14" s="150" t="s">
        <v>9</v>
      </c>
      <c r="E14" s="153">
        <v>110</v>
      </c>
      <c r="F14" s="153"/>
      <c r="G14" s="153"/>
      <c r="H14" s="153">
        <f t="shared" si="0"/>
        <v>0</v>
      </c>
      <c r="I14" s="244" t="s">
        <v>690</v>
      </c>
      <c r="J14" s="152">
        <v>22</v>
      </c>
      <c r="K14" s="245">
        <f>(E14-SUM(H14:H16))/J14</f>
        <v>-6.8409090909090908</v>
      </c>
      <c r="L14" s="245">
        <f t="shared" si="1"/>
        <v>-150.5</v>
      </c>
    </row>
    <row r="15" spans="1:12" x14ac:dyDescent="0.2">
      <c r="A15" s="152"/>
      <c r="B15" s="149">
        <v>45376</v>
      </c>
      <c r="C15" s="150" t="s">
        <v>458</v>
      </c>
      <c r="D15" s="150" t="s">
        <v>156</v>
      </c>
      <c r="E15" s="153"/>
      <c r="F15" s="153">
        <v>30</v>
      </c>
      <c r="G15" s="153"/>
      <c r="H15" s="153">
        <f t="shared" si="0"/>
        <v>30</v>
      </c>
      <c r="I15" s="157"/>
      <c r="J15" s="152"/>
      <c r="K15" s="152"/>
      <c r="L15" s="245"/>
    </row>
    <row r="16" spans="1:12" x14ac:dyDescent="0.2">
      <c r="A16" s="152"/>
      <c r="B16" s="149">
        <v>45376</v>
      </c>
      <c r="C16" s="150" t="s">
        <v>474</v>
      </c>
      <c r="D16" s="150" t="s">
        <v>156</v>
      </c>
      <c r="E16" s="153"/>
      <c r="F16" s="153">
        <v>231.8</v>
      </c>
      <c r="G16" s="153">
        <v>1.3</v>
      </c>
      <c r="H16" s="153">
        <f t="shared" si="0"/>
        <v>230.5</v>
      </c>
      <c r="I16" s="157"/>
      <c r="J16" s="152"/>
      <c r="K16" s="152"/>
      <c r="L16" s="245"/>
    </row>
    <row r="17" spans="1:12" x14ac:dyDescent="0.2">
      <c r="A17" s="152"/>
      <c r="B17" s="162">
        <v>45630</v>
      </c>
      <c r="C17" s="163" t="s">
        <v>523</v>
      </c>
      <c r="D17" s="163" t="s">
        <v>477</v>
      </c>
      <c r="E17" s="164"/>
      <c r="F17" s="164">
        <v>69.02</v>
      </c>
      <c r="G17" s="164"/>
      <c r="H17" s="164">
        <f t="shared" si="0"/>
        <v>69.02</v>
      </c>
      <c r="I17" s="165"/>
      <c r="J17" s="242">
        <v>22</v>
      </c>
      <c r="K17" s="240">
        <f>(E21-SUM(H17:H23))/J17</f>
        <v>-2.5286363636363633</v>
      </c>
      <c r="L17" s="240">
        <f t="shared" si="1"/>
        <v>-55.629999999999995</v>
      </c>
    </row>
    <row r="18" spans="1:12" x14ac:dyDescent="0.2">
      <c r="A18" s="152"/>
      <c r="B18" s="162">
        <v>45630</v>
      </c>
      <c r="C18" s="163" t="s">
        <v>523</v>
      </c>
      <c r="D18" s="163" t="s">
        <v>477</v>
      </c>
      <c r="E18" s="164"/>
      <c r="F18" s="164">
        <v>6.29</v>
      </c>
      <c r="G18" s="164"/>
      <c r="H18" s="164">
        <f t="shared" si="0"/>
        <v>6.29</v>
      </c>
      <c r="I18" s="165"/>
      <c r="J18" s="242"/>
      <c r="K18" s="242"/>
      <c r="L18" s="240"/>
    </row>
    <row r="19" spans="1:12" x14ac:dyDescent="0.2">
      <c r="A19" s="152"/>
      <c r="B19" s="162">
        <v>45630</v>
      </c>
      <c r="C19" s="163" t="s">
        <v>525</v>
      </c>
      <c r="D19" s="163" t="s">
        <v>477</v>
      </c>
      <c r="E19" s="164"/>
      <c r="F19" s="164">
        <v>30</v>
      </c>
      <c r="G19" s="164"/>
      <c r="H19" s="164">
        <f t="shared" si="0"/>
        <v>30</v>
      </c>
      <c r="I19" s="165"/>
      <c r="J19" s="242"/>
      <c r="K19" s="242"/>
      <c r="L19" s="240"/>
    </row>
    <row r="20" spans="1:12" x14ac:dyDescent="0.2">
      <c r="A20" s="152"/>
      <c r="B20" s="162">
        <v>45630</v>
      </c>
      <c r="C20" s="163" t="s">
        <v>526</v>
      </c>
      <c r="D20" s="163" t="s">
        <v>477</v>
      </c>
      <c r="E20" s="164"/>
      <c r="F20" s="164">
        <v>10</v>
      </c>
      <c r="G20" s="164"/>
      <c r="H20" s="164">
        <f t="shared" si="0"/>
        <v>10</v>
      </c>
      <c r="I20" s="165"/>
      <c r="J20" s="242"/>
      <c r="K20" s="242"/>
      <c r="L20" s="240"/>
    </row>
    <row r="21" spans="1:12" x14ac:dyDescent="0.2">
      <c r="A21" s="152"/>
      <c r="B21" s="162">
        <v>45630</v>
      </c>
      <c r="C21" s="163" t="s">
        <v>524</v>
      </c>
      <c r="D21" s="163" t="s">
        <v>9</v>
      </c>
      <c r="E21" s="164">
        <v>115</v>
      </c>
      <c r="F21" s="164"/>
      <c r="G21" s="164"/>
      <c r="H21" s="164">
        <f t="shared" si="0"/>
        <v>0</v>
      </c>
      <c r="I21" s="165"/>
      <c r="J21" s="242"/>
      <c r="K21" s="242"/>
      <c r="L21" s="240"/>
    </row>
    <row r="22" spans="1:12" x14ac:dyDescent="0.2">
      <c r="A22" s="152"/>
      <c r="B22" s="162">
        <v>45630</v>
      </c>
      <c r="C22" s="163" t="s">
        <v>523</v>
      </c>
      <c r="D22" s="163" t="s">
        <v>477</v>
      </c>
      <c r="E22" s="164"/>
      <c r="F22" s="164">
        <v>42</v>
      </c>
      <c r="G22" s="164"/>
      <c r="H22" s="164">
        <f t="shared" si="0"/>
        <v>42</v>
      </c>
      <c r="I22" s="165"/>
      <c r="J22" s="242"/>
      <c r="K22" s="242"/>
      <c r="L22" s="240"/>
    </row>
    <row r="23" spans="1:12" x14ac:dyDescent="0.2">
      <c r="A23" s="152"/>
      <c r="B23" s="162">
        <v>45630</v>
      </c>
      <c r="C23" s="163" t="s">
        <v>523</v>
      </c>
      <c r="D23" s="163" t="s">
        <v>477</v>
      </c>
      <c r="E23" s="164"/>
      <c r="F23" s="164">
        <v>15.99</v>
      </c>
      <c r="G23" s="164">
        <v>2.67</v>
      </c>
      <c r="H23" s="164">
        <f t="shared" si="0"/>
        <v>13.32</v>
      </c>
      <c r="I23" s="165"/>
      <c r="J23" s="242"/>
      <c r="K23" s="242"/>
      <c r="L23" s="240"/>
    </row>
    <row r="24" spans="1:12" x14ac:dyDescent="0.2">
      <c r="A24" s="152"/>
      <c r="B24" s="149">
        <v>45749</v>
      </c>
      <c r="C24" s="150" t="s">
        <v>553</v>
      </c>
      <c r="D24" s="150" t="s">
        <v>477</v>
      </c>
      <c r="E24" s="153"/>
      <c r="F24" s="153">
        <v>33.950000000000003</v>
      </c>
      <c r="G24" s="153"/>
      <c r="H24" s="153">
        <f t="shared" si="0"/>
        <v>33.950000000000003</v>
      </c>
      <c r="I24" s="157"/>
      <c r="J24" s="152">
        <v>27</v>
      </c>
      <c r="K24" s="245">
        <f>(E27-SUM(H24:H27))/J24</f>
        <v>0.60037037037037011</v>
      </c>
      <c r="L24" s="245">
        <f>K24*J24</f>
        <v>16.209999999999994</v>
      </c>
    </row>
    <row r="25" spans="1:12" x14ac:dyDescent="0.2">
      <c r="A25" s="152"/>
      <c r="B25" s="149">
        <v>45749</v>
      </c>
      <c r="C25" s="150" t="s">
        <v>553</v>
      </c>
      <c r="D25" s="150" t="s">
        <v>477</v>
      </c>
      <c r="E25" s="153"/>
      <c r="F25" s="153">
        <v>54.84</v>
      </c>
      <c r="G25" s="153"/>
      <c r="H25" s="153">
        <f t="shared" si="0"/>
        <v>54.84</v>
      </c>
      <c r="I25" s="157"/>
      <c r="J25" s="152"/>
      <c r="K25" s="152"/>
      <c r="L25" s="245"/>
    </row>
    <row r="26" spans="1:12" x14ac:dyDescent="0.2">
      <c r="A26" s="152"/>
      <c r="B26" s="149">
        <v>45749</v>
      </c>
      <c r="C26" s="150" t="s">
        <v>554</v>
      </c>
      <c r="D26" s="150" t="s">
        <v>555</v>
      </c>
      <c r="E26" s="153"/>
      <c r="F26" s="153">
        <v>30</v>
      </c>
      <c r="G26" s="153"/>
      <c r="H26" s="153">
        <f t="shared" si="0"/>
        <v>30</v>
      </c>
      <c r="I26" s="157"/>
      <c r="J26" s="152"/>
      <c r="K26" s="152"/>
      <c r="L26" s="245"/>
    </row>
    <row r="27" spans="1:12" x14ac:dyDescent="0.2">
      <c r="A27" s="152"/>
      <c r="B27" s="149">
        <v>45749</v>
      </c>
      <c r="C27" s="150" t="s">
        <v>556</v>
      </c>
      <c r="D27" s="150" t="s">
        <v>9</v>
      </c>
      <c r="E27" s="153">
        <v>135</v>
      </c>
      <c r="F27" s="153"/>
      <c r="G27" s="153"/>
      <c r="H27" s="153">
        <f t="shared" si="0"/>
        <v>0</v>
      </c>
      <c r="I27" s="157"/>
      <c r="J27" s="152"/>
      <c r="K27" s="152"/>
      <c r="L27" s="245"/>
    </row>
    <row r="28" spans="1:12" x14ac:dyDescent="0.2">
      <c r="A28" s="152"/>
      <c r="B28" s="162">
        <v>45903</v>
      </c>
      <c r="C28" s="163" t="s">
        <v>683</v>
      </c>
      <c r="D28" s="163" t="s">
        <v>477</v>
      </c>
      <c r="E28" s="240"/>
      <c r="F28" s="240">
        <v>56.83</v>
      </c>
      <c r="G28" s="240">
        <v>0</v>
      </c>
      <c r="H28" s="241">
        <f t="shared" si="0"/>
        <v>56.83</v>
      </c>
      <c r="I28" s="242"/>
      <c r="J28" s="242">
        <v>27</v>
      </c>
      <c r="K28" s="240">
        <f>(E31-SUM(H28:H31))/J28</f>
        <v>1.5692592592592594</v>
      </c>
      <c r="L28" s="240">
        <f t="shared" si="1"/>
        <v>42.370000000000005</v>
      </c>
    </row>
    <row r="29" spans="1:12" x14ac:dyDescent="0.2">
      <c r="A29" s="152"/>
      <c r="B29" s="162">
        <v>45903</v>
      </c>
      <c r="C29" s="163" t="s">
        <v>683</v>
      </c>
      <c r="D29" s="163" t="s">
        <v>477</v>
      </c>
      <c r="E29" s="241"/>
      <c r="F29" s="241">
        <v>5.8</v>
      </c>
      <c r="G29" s="241">
        <v>0</v>
      </c>
      <c r="H29" s="241">
        <f t="shared" si="0"/>
        <v>5.8</v>
      </c>
      <c r="I29" s="165"/>
      <c r="J29" s="242"/>
      <c r="K29" s="242"/>
      <c r="L29" s="240"/>
    </row>
    <row r="30" spans="1:12" x14ac:dyDescent="0.2">
      <c r="A30" s="152"/>
      <c r="B30" s="162">
        <v>45903</v>
      </c>
      <c r="C30" s="163" t="s">
        <v>684</v>
      </c>
      <c r="D30" s="163" t="s">
        <v>555</v>
      </c>
      <c r="E30" s="241"/>
      <c r="F30" s="241">
        <v>30</v>
      </c>
      <c r="G30" s="241">
        <v>0</v>
      </c>
      <c r="H30" s="241">
        <f t="shared" si="0"/>
        <v>30</v>
      </c>
      <c r="I30" s="165"/>
      <c r="J30" s="242"/>
      <c r="K30" s="242"/>
      <c r="L30" s="240"/>
    </row>
    <row r="31" spans="1:12" x14ac:dyDescent="0.2">
      <c r="A31" s="152"/>
      <c r="B31" s="162">
        <v>45903</v>
      </c>
      <c r="C31" s="163" t="s">
        <v>685</v>
      </c>
      <c r="D31" s="163" t="s">
        <v>9</v>
      </c>
      <c r="E31" s="241">
        <v>135</v>
      </c>
      <c r="F31" s="241"/>
      <c r="G31" s="241"/>
      <c r="H31" s="241">
        <f t="shared" si="0"/>
        <v>0</v>
      </c>
      <c r="I31" s="165"/>
      <c r="J31" s="242"/>
      <c r="K31" s="242"/>
      <c r="L31" s="240"/>
    </row>
    <row r="32" spans="1:12" x14ac:dyDescent="0.2">
      <c r="A32" s="152"/>
      <c r="B32" s="149">
        <v>46001</v>
      </c>
      <c r="C32" s="150" t="s">
        <v>837</v>
      </c>
      <c r="D32" s="150" t="s">
        <v>477</v>
      </c>
      <c r="E32" s="267"/>
      <c r="F32" s="267">
        <v>46.95</v>
      </c>
      <c r="G32" s="267"/>
      <c r="H32" s="241">
        <f t="shared" si="0"/>
        <v>46.95</v>
      </c>
      <c r="I32" s="157"/>
      <c r="J32" s="152">
        <v>30</v>
      </c>
      <c r="K32" s="245">
        <f>(E36-SUM(H32:H36))/J32</f>
        <v>-0.80800000000000027</v>
      </c>
      <c r="L32" s="245">
        <f>K32*J32</f>
        <v>-24.240000000000009</v>
      </c>
    </row>
    <row r="33" spans="1:12" x14ac:dyDescent="0.2">
      <c r="A33" s="152"/>
      <c r="B33" s="149">
        <v>46001</v>
      </c>
      <c r="C33" s="150" t="s">
        <v>837</v>
      </c>
      <c r="D33" s="150" t="s">
        <v>477</v>
      </c>
      <c r="E33" s="267"/>
      <c r="F33" s="267">
        <v>55.34</v>
      </c>
      <c r="G33" s="267"/>
      <c r="H33" s="241">
        <f t="shared" si="0"/>
        <v>55.34</v>
      </c>
      <c r="I33" s="157"/>
      <c r="J33" s="152"/>
      <c r="K33" s="152"/>
      <c r="L33" s="245"/>
    </row>
    <row r="34" spans="1:12" x14ac:dyDescent="0.2">
      <c r="A34" s="152"/>
      <c r="B34" s="149">
        <v>46001</v>
      </c>
      <c r="C34" s="150" t="s">
        <v>849</v>
      </c>
      <c r="D34" s="150" t="s">
        <v>477</v>
      </c>
      <c r="E34" s="267"/>
      <c r="F34" s="267">
        <v>41.95</v>
      </c>
      <c r="G34" s="267"/>
      <c r="H34" s="241">
        <f t="shared" si="0"/>
        <v>41.95</v>
      </c>
      <c r="I34" s="157"/>
      <c r="J34" s="152"/>
      <c r="K34" s="152"/>
      <c r="L34" s="245"/>
    </row>
    <row r="35" spans="1:12" x14ac:dyDescent="0.2">
      <c r="A35" s="152"/>
      <c r="B35" s="149">
        <v>46001</v>
      </c>
      <c r="C35" s="150" t="s">
        <v>838</v>
      </c>
      <c r="D35" s="150" t="s">
        <v>555</v>
      </c>
      <c r="E35" s="267"/>
      <c r="F35" s="267">
        <v>30</v>
      </c>
      <c r="G35" s="267"/>
      <c r="H35" s="241">
        <f t="shared" si="0"/>
        <v>30</v>
      </c>
      <c r="I35" s="157"/>
      <c r="J35" s="152"/>
      <c r="K35" s="152"/>
      <c r="L35" s="245"/>
    </row>
    <row r="36" spans="1:12" x14ac:dyDescent="0.2">
      <c r="A36" s="152"/>
      <c r="B36" s="149">
        <v>46001</v>
      </c>
      <c r="C36" s="150" t="s">
        <v>839</v>
      </c>
      <c r="D36" s="150" t="s">
        <v>9</v>
      </c>
      <c r="E36" s="267">
        <v>150</v>
      </c>
      <c r="F36" s="267"/>
      <c r="G36" s="267"/>
      <c r="H36" s="267"/>
      <c r="I36" s="157"/>
      <c r="J36" s="152"/>
      <c r="K36" s="152"/>
      <c r="L36" s="245"/>
    </row>
    <row r="37" spans="1:12" x14ac:dyDescent="0.2">
      <c r="A37" s="152"/>
      <c r="B37" s="149"/>
      <c r="C37" s="150"/>
      <c r="D37" s="150"/>
      <c r="E37" s="153"/>
      <c r="F37" s="153"/>
      <c r="G37" s="153"/>
      <c r="H37" s="153"/>
      <c r="I37" s="157"/>
      <c r="J37" s="152"/>
      <c r="K37" s="152"/>
      <c r="L37" s="152"/>
    </row>
    <row r="38" spans="1:12" x14ac:dyDescent="0.2">
      <c r="A38" s="152"/>
      <c r="B38" s="149"/>
      <c r="C38" s="150"/>
      <c r="D38" s="150"/>
      <c r="E38" s="153"/>
      <c r="F38" s="153"/>
      <c r="G38" s="153"/>
      <c r="H38" s="153"/>
      <c r="I38" s="157"/>
      <c r="J38" s="152"/>
      <c r="K38" s="152"/>
      <c r="L38" s="152"/>
    </row>
    <row r="39" spans="1:12" x14ac:dyDescent="0.2">
      <c r="A39" s="152"/>
      <c r="B39" s="149"/>
      <c r="C39" s="150"/>
      <c r="D39" s="150"/>
      <c r="E39" s="153"/>
      <c r="F39" s="153"/>
      <c r="G39" s="153"/>
      <c r="H39" s="153"/>
      <c r="I39" s="157"/>
      <c r="J39" s="152"/>
      <c r="K39" s="152"/>
      <c r="L39" s="152"/>
    </row>
    <row r="40" spans="1:12" x14ac:dyDescent="0.2">
      <c r="A40" s="152"/>
      <c r="B40" s="149"/>
      <c r="C40" s="150"/>
      <c r="D40" s="150"/>
      <c r="E40" s="153"/>
      <c r="F40" s="153"/>
      <c r="G40" s="153"/>
      <c r="H40" s="153"/>
      <c r="I40" s="157"/>
      <c r="J40" s="152"/>
      <c r="K40" s="152"/>
      <c r="L40" s="152"/>
    </row>
    <row r="41" spans="1:12" x14ac:dyDescent="0.2">
      <c r="A41" s="152"/>
      <c r="B41" s="152"/>
      <c r="C41" s="152"/>
      <c r="D41" s="152"/>
      <c r="E41" s="158">
        <f>SUM(E6:E40)</f>
        <v>719.22</v>
      </c>
      <c r="F41" s="158">
        <f t="shared" ref="F41:H41" si="2">SUM(F6:F40)</f>
        <v>1497.2099999999998</v>
      </c>
      <c r="G41" s="158">
        <f t="shared" si="2"/>
        <v>11.38</v>
      </c>
      <c r="H41" s="158">
        <f t="shared" si="2"/>
        <v>1485.8299999999997</v>
      </c>
      <c r="I41" s="159"/>
      <c r="J41" s="152"/>
      <c r="K41" s="245">
        <f>E41-H41</f>
        <v>-766.60999999999967</v>
      </c>
      <c r="L41" s="245">
        <f>SUM(L6:L40)</f>
        <v>-766.6099999999999</v>
      </c>
    </row>
    <row r="42" spans="1:12" x14ac:dyDescent="0.2">
      <c r="E42" s="155"/>
      <c r="F42" s="155"/>
      <c r="G42" s="155"/>
      <c r="H42" s="155"/>
      <c r="I42" s="154"/>
    </row>
    <row r="43" spans="1:12" x14ac:dyDescent="0.2">
      <c r="C43" s="151" t="s">
        <v>534</v>
      </c>
    </row>
    <row r="45" spans="1:12" x14ac:dyDescent="0.2">
      <c r="C45" s="151" t="s">
        <v>850</v>
      </c>
    </row>
    <row r="46" spans="1:12" x14ac:dyDescent="0.2">
      <c r="C46" s="151" t="s">
        <v>558</v>
      </c>
    </row>
    <row r="47" spans="1:12" x14ac:dyDescent="0.2">
      <c r="C47" s="151" t="s">
        <v>851</v>
      </c>
    </row>
    <row r="49" spans="3:3" x14ac:dyDescent="0.2">
      <c r="C49" s="151" t="s">
        <v>686</v>
      </c>
    </row>
    <row r="50" spans="3:3" x14ac:dyDescent="0.2">
      <c r="C50" s="151" t="s">
        <v>558</v>
      </c>
    </row>
    <row r="51" spans="3:3" x14ac:dyDescent="0.2">
      <c r="C51" s="151" t="s">
        <v>687</v>
      </c>
    </row>
    <row r="53" spans="3:3" x14ac:dyDescent="0.2">
      <c r="C53" s="151" t="s">
        <v>557</v>
      </c>
    </row>
    <row r="54" spans="3:3" x14ac:dyDescent="0.2">
      <c r="C54" s="151" t="s">
        <v>558</v>
      </c>
    </row>
    <row r="55" spans="3:3" x14ac:dyDescent="0.2">
      <c r="C55" s="151" t="s">
        <v>560</v>
      </c>
    </row>
    <row r="57" spans="3:3" x14ac:dyDescent="0.2">
      <c r="C57" s="151" t="s">
        <v>559</v>
      </c>
    </row>
    <row r="58" spans="3:3" x14ac:dyDescent="0.2">
      <c r="C58" s="151" t="s">
        <v>527</v>
      </c>
    </row>
    <row r="59" spans="3:3" x14ac:dyDescent="0.2">
      <c r="C59" s="151" t="s">
        <v>561</v>
      </c>
    </row>
    <row r="61" spans="3:3" x14ac:dyDescent="0.2">
      <c r="C61" s="151" t="s">
        <v>471</v>
      </c>
    </row>
    <row r="62" spans="3:3" x14ac:dyDescent="0.2">
      <c r="C62" s="151" t="s">
        <v>472</v>
      </c>
    </row>
    <row r="63" spans="3:3" x14ac:dyDescent="0.2">
      <c r="C63" s="151" t="s">
        <v>562</v>
      </c>
    </row>
    <row r="65" spans="3:3" x14ac:dyDescent="0.2">
      <c r="C65" s="151" t="s">
        <v>439</v>
      </c>
    </row>
    <row r="66" spans="3:3" x14ac:dyDescent="0.2">
      <c r="C66" s="151" t="s">
        <v>440</v>
      </c>
    </row>
    <row r="67" spans="3:3" x14ac:dyDescent="0.2">
      <c r="C67" s="151" t="s">
        <v>563</v>
      </c>
    </row>
    <row r="69" spans="3:3" x14ac:dyDescent="0.2">
      <c r="C69" s="151" t="s">
        <v>420</v>
      </c>
    </row>
    <row r="70" spans="3:3" x14ac:dyDescent="0.2">
      <c r="C70" s="151" t="s">
        <v>564</v>
      </c>
    </row>
  </sheetData>
  <sortState xmlns:xlrd2="http://schemas.microsoft.com/office/spreadsheetml/2017/richdata2" ref="B49:C75">
    <sortCondition ref="B49:B75"/>
  </sortState>
  <phoneticPr fontId="22" type="noConversion"/>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L340"/>
  <sheetViews>
    <sheetView topLeftCell="B322" zoomScale="140" zoomScaleNormal="140" zoomScalePageLayoutView="140" workbookViewId="0">
      <selection activeCell="J340" sqref="J340"/>
    </sheetView>
  </sheetViews>
  <sheetFormatPr baseColWidth="10" defaultRowHeight="15" x14ac:dyDescent="0.2"/>
  <cols>
    <col min="1" max="1" width="13.33203125" style="59" customWidth="1"/>
    <col min="2" max="2" width="31.1640625" style="60" customWidth="1"/>
    <col min="3" max="3" width="40.5" style="60" customWidth="1"/>
    <col min="4" max="4" width="12.5" style="60" customWidth="1"/>
    <col min="5" max="5" width="10.83203125" style="60"/>
    <col min="6" max="7" width="10.83203125" style="66" customWidth="1"/>
    <col min="8" max="8" width="14" style="60" customWidth="1"/>
    <col min="9" max="10" width="10.83203125" style="66"/>
    <col min="11" max="16384" width="10.83203125" style="60"/>
  </cols>
  <sheetData>
    <row r="2" spans="2:8" x14ac:dyDescent="0.2">
      <c r="B2" s="68" t="s">
        <v>123</v>
      </c>
      <c r="E2" s="59"/>
    </row>
    <row r="3" spans="2:8" ht="48" x14ac:dyDescent="0.2">
      <c r="B3" s="63" t="s">
        <v>101</v>
      </c>
      <c r="C3" s="63" t="s">
        <v>107</v>
      </c>
      <c r="D3" s="63" t="s">
        <v>82</v>
      </c>
      <c r="E3" s="98" t="s">
        <v>111</v>
      </c>
      <c r="F3" s="64" t="s">
        <v>112</v>
      </c>
      <c r="G3" s="64" t="s">
        <v>108</v>
      </c>
      <c r="H3" s="63" t="s">
        <v>109</v>
      </c>
    </row>
    <row r="4" spans="2:8" x14ac:dyDescent="0.2">
      <c r="B4" s="70" t="s">
        <v>95</v>
      </c>
      <c r="C4" s="70" t="s">
        <v>126</v>
      </c>
      <c r="D4" s="70">
        <v>820490</v>
      </c>
      <c r="E4" s="88">
        <v>43869</v>
      </c>
      <c r="F4" s="97">
        <v>15</v>
      </c>
      <c r="G4" s="97">
        <v>2.5</v>
      </c>
      <c r="H4" s="70">
        <v>2508720112</v>
      </c>
    </row>
    <row r="5" spans="2:8" x14ac:dyDescent="0.2">
      <c r="B5" s="70" t="s">
        <v>95</v>
      </c>
      <c r="C5" s="70" t="s">
        <v>127</v>
      </c>
      <c r="D5" s="70">
        <v>52117</v>
      </c>
      <c r="E5" s="88">
        <v>43871</v>
      </c>
      <c r="F5" s="97">
        <v>34.270000000000003</v>
      </c>
      <c r="G5" s="97">
        <v>5.71</v>
      </c>
      <c r="H5" s="70">
        <v>194101875</v>
      </c>
    </row>
    <row r="6" spans="2:8" x14ac:dyDescent="0.2">
      <c r="B6" s="70" t="s">
        <v>95</v>
      </c>
      <c r="C6" s="70" t="s">
        <v>127</v>
      </c>
      <c r="D6" s="70">
        <v>52127</v>
      </c>
      <c r="E6" s="88">
        <v>43873</v>
      </c>
      <c r="F6" s="97">
        <v>17.84</v>
      </c>
      <c r="G6" s="97">
        <v>2.97</v>
      </c>
      <c r="H6" s="70">
        <v>194101875</v>
      </c>
    </row>
    <row r="7" spans="2:8" x14ac:dyDescent="0.2">
      <c r="B7" s="70" t="s">
        <v>113</v>
      </c>
      <c r="C7" s="70" t="s">
        <v>114</v>
      </c>
      <c r="D7" s="70">
        <v>50038</v>
      </c>
      <c r="E7" s="88">
        <v>43884</v>
      </c>
      <c r="F7" s="97">
        <v>84</v>
      </c>
      <c r="G7" s="97">
        <v>14</v>
      </c>
      <c r="H7" s="70" t="s">
        <v>124</v>
      </c>
    </row>
    <row r="8" spans="2:8" x14ac:dyDescent="0.2">
      <c r="B8" s="70" t="s">
        <v>117</v>
      </c>
      <c r="C8" s="70" t="s">
        <v>116</v>
      </c>
      <c r="D8" s="70" t="s">
        <v>120</v>
      </c>
      <c r="E8" s="88">
        <v>43889</v>
      </c>
      <c r="F8" s="97">
        <v>200</v>
      </c>
      <c r="G8" s="97">
        <v>33.33</v>
      </c>
      <c r="H8" s="70" t="s">
        <v>125</v>
      </c>
    </row>
    <row r="9" spans="2:8" x14ac:dyDescent="0.2">
      <c r="B9" s="70" t="s">
        <v>117</v>
      </c>
      <c r="C9" s="70" t="s">
        <v>118</v>
      </c>
      <c r="D9" s="70">
        <v>53185</v>
      </c>
      <c r="E9" s="88">
        <v>43900</v>
      </c>
      <c r="F9" s="97">
        <v>27.99</v>
      </c>
      <c r="G9" s="97">
        <v>4.66</v>
      </c>
      <c r="H9" s="70">
        <v>755163721</v>
      </c>
    </row>
    <row r="10" spans="2:8" x14ac:dyDescent="0.2">
      <c r="B10" s="70" t="s">
        <v>31</v>
      </c>
      <c r="C10" s="70" t="s">
        <v>121</v>
      </c>
      <c r="D10" s="70">
        <v>14114</v>
      </c>
      <c r="E10" s="88">
        <v>43901</v>
      </c>
      <c r="F10" s="97">
        <v>84</v>
      </c>
      <c r="G10" s="97">
        <v>14</v>
      </c>
      <c r="H10" s="70">
        <v>167413406</v>
      </c>
    </row>
    <row r="11" spans="2:8" x14ac:dyDescent="0.2">
      <c r="B11" s="70" t="s">
        <v>93</v>
      </c>
      <c r="C11" s="70" t="s">
        <v>122</v>
      </c>
      <c r="D11" s="70">
        <v>602239032</v>
      </c>
      <c r="E11" s="88">
        <v>43921</v>
      </c>
      <c r="F11" s="97">
        <v>334.32</v>
      </c>
      <c r="G11" s="97">
        <v>55.72</v>
      </c>
      <c r="H11" s="70">
        <v>193548138</v>
      </c>
    </row>
    <row r="12" spans="2:8" x14ac:dyDescent="0.2">
      <c r="B12" s="70"/>
      <c r="C12" s="70"/>
      <c r="D12" s="70"/>
      <c r="E12" s="88"/>
      <c r="F12" s="97"/>
      <c r="G12" s="97"/>
      <c r="H12" s="70"/>
    </row>
    <row r="13" spans="2:8" x14ac:dyDescent="0.2">
      <c r="B13" s="70"/>
      <c r="C13" s="70"/>
      <c r="D13" s="70"/>
      <c r="E13" s="88"/>
      <c r="F13" s="97"/>
      <c r="G13" s="97">
        <f>SUM(G4:G11)</f>
        <v>132.88999999999999</v>
      </c>
      <c r="H13" s="70"/>
    </row>
    <row r="14" spans="2:8" x14ac:dyDescent="0.2">
      <c r="B14" s="70"/>
      <c r="C14" s="70"/>
      <c r="D14" s="70"/>
      <c r="E14" s="88"/>
      <c r="F14" s="97"/>
      <c r="G14" s="97"/>
      <c r="H14" s="70"/>
    </row>
    <row r="17" spans="1:8" x14ac:dyDescent="0.2">
      <c r="B17" s="68" t="s">
        <v>174</v>
      </c>
      <c r="D17" s="60" t="s">
        <v>210</v>
      </c>
    </row>
    <row r="19" spans="1:8" ht="48" x14ac:dyDescent="0.2">
      <c r="A19" s="88"/>
      <c r="B19" s="63" t="s">
        <v>101</v>
      </c>
      <c r="C19" s="63" t="s">
        <v>107</v>
      </c>
      <c r="D19" s="63" t="s">
        <v>82</v>
      </c>
      <c r="E19" s="98" t="s">
        <v>111</v>
      </c>
      <c r="F19" s="64" t="s">
        <v>112</v>
      </c>
      <c r="G19" s="64" t="s">
        <v>108</v>
      </c>
      <c r="H19" s="63" t="s">
        <v>109</v>
      </c>
    </row>
    <row r="20" spans="1:8" x14ac:dyDescent="0.2">
      <c r="A20" s="88">
        <v>43969</v>
      </c>
      <c r="B20" s="70" t="s">
        <v>197</v>
      </c>
      <c r="C20" s="70" t="s">
        <v>198</v>
      </c>
      <c r="D20" s="70"/>
      <c r="E20" s="88">
        <v>43920</v>
      </c>
      <c r="F20" s="89">
        <v>33.74</v>
      </c>
      <c r="G20" s="89">
        <v>6.75</v>
      </c>
      <c r="H20" s="70" t="s">
        <v>200</v>
      </c>
    </row>
    <row r="21" spans="1:8" x14ac:dyDescent="0.2">
      <c r="A21" s="88"/>
      <c r="B21" s="70" t="s">
        <v>151</v>
      </c>
      <c r="C21" s="70" t="s">
        <v>205</v>
      </c>
      <c r="D21" s="70"/>
      <c r="E21" s="88">
        <v>43922</v>
      </c>
      <c r="F21" s="89">
        <v>14.39</v>
      </c>
      <c r="G21" s="89">
        <v>2.4</v>
      </c>
      <c r="H21" s="70" t="s">
        <v>201</v>
      </c>
    </row>
    <row r="22" spans="1:8" x14ac:dyDescent="0.2">
      <c r="A22" s="88">
        <v>43936</v>
      </c>
      <c r="B22" s="70" t="s">
        <v>175</v>
      </c>
      <c r="C22" s="70" t="s">
        <v>177</v>
      </c>
      <c r="D22" s="70"/>
      <c r="E22" s="88">
        <v>43936</v>
      </c>
      <c r="F22" s="89">
        <v>260.60000000000002</v>
      </c>
      <c r="G22" s="89">
        <v>43.43</v>
      </c>
      <c r="H22" s="70" t="s">
        <v>176</v>
      </c>
    </row>
    <row r="23" spans="1:8" x14ac:dyDescent="0.2">
      <c r="A23" s="88"/>
      <c r="B23" s="70" t="s">
        <v>151</v>
      </c>
      <c r="C23" s="70" t="s">
        <v>206</v>
      </c>
      <c r="D23" s="70"/>
      <c r="E23" s="88">
        <v>43952</v>
      </c>
      <c r="F23" s="89">
        <v>14.39</v>
      </c>
      <c r="G23" s="89">
        <v>2.4</v>
      </c>
      <c r="H23" s="70" t="s">
        <v>201</v>
      </c>
    </row>
    <row r="24" spans="1:8" x14ac:dyDescent="0.2">
      <c r="A24" s="88">
        <v>43980</v>
      </c>
      <c r="B24" s="70" t="s">
        <v>129</v>
      </c>
      <c r="C24" s="70" t="s">
        <v>179</v>
      </c>
      <c r="D24" s="70">
        <v>13122</v>
      </c>
      <c r="E24" s="88">
        <v>43980</v>
      </c>
      <c r="F24" s="89">
        <v>924</v>
      </c>
      <c r="G24" s="89">
        <v>154</v>
      </c>
      <c r="H24" s="70">
        <v>321943962</v>
      </c>
    </row>
    <row r="25" spans="1:8" x14ac:dyDescent="0.2">
      <c r="A25" s="88"/>
      <c r="B25" s="70" t="s">
        <v>151</v>
      </c>
      <c r="C25" s="70" t="s">
        <v>207</v>
      </c>
      <c r="D25" s="70"/>
      <c r="E25" s="88">
        <v>43983</v>
      </c>
      <c r="F25" s="89">
        <v>14.39</v>
      </c>
      <c r="G25" s="89">
        <v>2.4</v>
      </c>
      <c r="H25" s="70" t="s">
        <v>201</v>
      </c>
    </row>
    <row r="26" spans="1:8" x14ac:dyDescent="0.2">
      <c r="A26" s="88">
        <v>44026</v>
      </c>
      <c r="B26" s="70" t="s">
        <v>129</v>
      </c>
      <c r="C26" s="70" t="s">
        <v>178</v>
      </c>
      <c r="D26" s="70">
        <v>13233</v>
      </c>
      <c r="E26" s="88">
        <v>44012</v>
      </c>
      <c r="F26" s="89">
        <v>414</v>
      </c>
      <c r="G26" s="89">
        <v>69</v>
      </c>
      <c r="H26" s="70">
        <v>321943962</v>
      </c>
    </row>
    <row r="27" spans="1:8" x14ac:dyDescent="0.2">
      <c r="A27" s="88"/>
      <c r="B27" s="70" t="s">
        <v>151</v>
      </c>
      <c r="C27" s="70" t="s">
        <v>208</v>
      </c>
      <c r="D27" s="70"/>
      <c r="E27" s="88">
        <v>44013</v>
      </c>
      <c r="F27" s="89">
        <v>14.39</v>
      </c>
      <c r="G27" s="89">
        <v>2.4</v>
      </c>
      <c r="H27" s="70" t="s">
        <v>201</v>
      </c>
    </row>
    <row r="28" spans="1:8" x14ac:dyDescent="0.2">
      <c r="A28" s="88"/>
      <c r="B28" s="70" t="s">
        <v>202</v>
      </c>
      <c r="C28" s="70" t="s">
        <v>203</v>
      </c>
      <c r="D28" s="70"/>
      <c r="E28" s="88">
        <v>44020</v>
      </c>
      <c r="F28" s="89">
        <v>29.99</v>
      </c>
      <c r="G28" s="89">
        <v>5</v>
      </c>
      <c r="H28" s="70" t="s">
        <v>110</v>
      </c>
    </row>
    <row r="29" spans="1:8" x14ac:dyDescent="0.2">
      <c r="A29" s="88">
        <v>44061</v>
      </c>
      <c r="B29" s="70" t="s">
        <v>151</v>
      </c>
      <c r="C29" s="70" t="s">
        <v>209</v>
      </c>
      <c r="D29" s="70"/>
      <c r="E29" s="88">
        <v>44025</v>
      </c>
      <c r="F29" s="89">
        <v>91.9</v>
      </c>
      <c r="G29" s="89">
        <v>15.32</v>
      </c>
      <c r="H29" s="70" t="s">
        <v>201</v>
      </c>
    </row>
    <row r="30" spans="1:8" x14ac:dyDescent="0.2">
      <c r="A30" s="88">
        <v>44043</v>
      </c>
      <c r="B30" s="70" t="s">
        <v>129</v>
      </c>
      <c r="C30" s="70" t="s">
        <v>132</v>
      </c>
      <c r="D30" s="70">
        <v>13293</v>
      </c>
      <c r="E30" s="88">
        <v>44043</v>
      </c>
      <c r="F30" s="89">
        <v>828</v>
      </c>
      <c r="G30" s="89">
        <v>138</v>
      </c>
      <c r="H30" s="70">
        <v>321943962</v>
      </c>
    </row>
    <row r="31" spans="1:8" x14ac:dyDescent="0.2">
      <c r="A31" s="88">
        <v>44088</v>
      </c>
      <c r="B31" s="70" t="s">
        <v>129</v>
      </c>
      <c r="C31" s="70" t="s">
        <v>135</v>
      </c>
      <c r="D31" s="70">
        <v>13341</v>
      </c>
      <c r="E31" s="88">
        <v>44074</v>
      </c>
      <c r="F31" s="89">
        <v>414</v>
      </c>
      <c r="G31" s="89">
        <v>69</v>
      </c>
      <c r="H31" s="70">
        <v>321943962</v>
      </c>
    </row>
    <row r="32" spans="1:8" x14ac:dyDescent="0.2">
      <c r="A32" s="88">
        <v>44095</v>
      </c>
      <c r="B32" s="70" t="s">
        <v>183</v>
      </c>
      <c r="C32" s="70" t="s">
        <v>138</v>
      </c>
      <c r="D32" s="70">
        <v>14304</v>
      </c>
      <c r="E32" s="88">
        <v>44075</v>
      </c>
      <c r="F32" s="89">
        <v>36</v>
      </c>
      <c r="G32" s="89">
        <v>6</v>
      </c>
      <c r="H32" s="70">
        <v>1674413406</v>
      </c>
    </row>
    <row r="33" spans="1:8" x14ac:dyDescent="0.2">
      <c r="A33" s="88">
        <v>44088</v>
      </c>
      <c r="B33" s="70" t="s">
        <v>136</v>
      </c>
      <c r="C33" s="70" t="s">
        <v>180</v>
      </c>
      <c r="D33" s="70">
        <v>6965</v>
      </c>
      <c r="E33" s="88">
        <v>44076</v>
      </c>
      <c r="F33" s="89">
        <v>222</v>
      </c>
      <c r="G33" s="89">
        <v>37</v>
      </c>
      <c r="H33" s="70">
        <v>582552525</v>
      </c>
    </row>
    <row r="34" spans="1:8" x14ac:dyDescent="0.2">
      <c r="A34" s="88">
        <v>44088</v>
      </c>
      <c r="B34" s="70" t="s">
        <v>137</v>
      </c>
      <c r="C34" s="70" t="s">
        <v>181</v>
      </c>
      <c r="D34" s="70" t="s">
        <v>139</v>
      </c>
      <c r="E34" s="88">
        <v>44089</v>
      </c>
      <c r="F34" s="89">
        <v>142</v>
      </c>
      <c r="G34" s="89">
        <v>4.17</v>
      </c>
      <c r="H34" s="70" t="s">
        <v>182</v>
      </c>
    </row>
    <row r="35" spans="1:8" x14ac:dyDescent="0.2">
      <c r="A35" s="88">
        <v>44118</v>
      </c>
      <c r="B35" s="70" t="s">
        <v>140</v>
      </c>
      <c r="C35" s="70" t="s">
        <v>141</v>
      </c>
      <c r="D35" s="70" t="s">
        <v>142</v>
      </c>
      <c r="E35" s="88">
        <v>44094</v>
      </c>
      <c r="F35" s="89">
        <v>60</v>
      </c>
      <c r="G35" s="89">
        <v>10</v>
      </c>
      <c r="H35" s="70">
        <v>665048328</v>
      </c>
    </row>
    <row r="36" spans="1:8" x14ac:dyDescent="0.2">
      <c r="A36" s="88">
        <v>44118</v>
      </c>
      <c r="B36" s="70" t="s">
        <v>183</v>
      </c>
      <c r="C36" s="70" t="s">
        <v>143</v>
      </c>
      <c r="D36" s="70">
        <v>14434</v>
      </c>
      <c r="E36" s="88">
        <v>44099</v>
      </c>
      <c r="F36" s="89">
        <v>36</v>
      </c>
      <c r="G36" s="89">
        <v>6</v>
      </c>
      <c r="H36" s="70">
        <v>1674413406</v>
      </c>
    </row>
    <row r="37" spans="1:8" x14ac:dyDescent="0.2">
      <c r="A37" s="88">
        <v>44118</v>
      </c>
      <c r="B37" s="70" t="s">
        <v>129</v>
      </c>
      <c r="C37" s="70" t="s">
        <v>153</v>
      </c>
      <c r="D37" s="70">
        <v>13418</v>
      </c>
      <c r="E37" s="88">
        <v>44104</v>
      </c>
      <c r="F37" s="89">
        <v>414</v>
      </c>
      <c r="G37" s="89">
        <v>69</v>
      </c>
      <c r="H37" s="70">
        <v>321943962</v>
      </c>
    </row>
    <row r="38" spans="1:8" x14ac:dyDescent="0.2">
      <c r="A38" s="88">
        <v>44153</v>
      </c>
      <c r="B38" s="70" t="s">
        <v>129</v>
      </c>
      <c r="C38" s="70" t="s">
        <v>160</v>
      </c>
      <c r="D38" s="70"/>
      <c r="E38" s="88">
        <v>44135</v>
      </c>
      <c r="F38" s="89">
        <v>828</v>
      </c>
      <c r="G38" s="89">
        <v>138</v>
      </c>
      <c r="H38" s="70">
        <v>321943962</v>
      </c>
    </row>
    <row r="39" spans="1:8" x14ac:dyDescent="0.2">
      <c r="A39" s="88">
        <v>44144</v>
      </c>
      <c r="B39" s="70" t="s">
        <v>189</v>
      </c>
      <c r="C39" s="70" t="s">
        <v>188</v>
      </c>
      <c r="D39" s="70">
        <v>43018</v>
      </c>
      <c r="E39" s="88">
        <v>44141</v>
      </c>
      <c r="F39" s="89">
        <v>96.42</v>
      </c>
      <c r="G39" s="89">
        <v>16.07</v>
      </c>
      <c r="H39" s="70">
        <v>194101875</v>
      </c>
    </row>
    <row r="40" spans="1:8" x14ac:dyDescent="0.2">
      <c r="A40" s="88">
        <v>44153</v>
      </c>
      <c r="B40" s="70" t="s">
        <v>186</v>
      </c>
      <c r="C40" s="70" t="s">
        <v>159</v>
      </c>
      <c r="D40" s="70"/>
      <c r="E40" s="88">
        <v>44144</v>
      </c>
      <c r="F40" s="89">
        <v>95.88</v>
      </c>
      <c r="G40" s="89">
        <v>15.98</v>
      </c>
      <c r="H40" s="70" t="s">
        <v>187</v>
      </c>
    </row>
    <row r="41" spans="1:8" x14ac:dyDescent="0.2">
      <c r="A41" s="88">
        <v>44154</v>
      </c>
      <c r="B41" s="70" t="s">
        <v>192</v>
      </c>
      <c r="C41" s="70" t="s">
        <v>190</v>
      </c>
      <c r="D41" s="70"/>
      <c r="E41" s="88">
        <v>44145</v>
      </c>
      <c r="F41" s="89">
        <v>85.47</v>
      </c>
      <c r="G41" s="89">
        <v>14.25</v>
      </c>
      <c r="H41" s="70" t="s">
        <v>191</v>
      </c>
    </row>
    <row r="42" spans="1:8" x14ac:dyDescent="0.2">
      <c r="A42" s="88"/>
      <c r="B42" s="70" t="s">
        <v>193</v>
      </c>
      <c r="C42" s="70" t="s">
        <v>194</v>
      </c>
      <c r="D42" s="70"/>
      <c r="E42" s="88">
        <v>44145</v>
      </c>
      <c r="F42" s="89">
        <v>29.94</v>
      </c>
      <c r="G42" s="89">
        <v>0</v>
      </c>
      <c r="H42" s="90" t="s">
        <v>204</v>
      </c>
    </row>
    <row r="43" spans="1:8" x14ac:dyDescent="0.2">
      <c r="A43" s="88">
        <v>44148</v>
      </c>
      <c r="B43" s="70" t="s">
        <v>155</v>
      </c>
      <c r="C43" s="70" t="s">
        <v>184</v>
      </c>
      <c r="D43" s="70"/>
      <c r="E43" s="88">
        <v>44148</v>
      </c>
      <c r="F43" s="89">
        <v>120</v>
      </c>
      <c r="G43" s="89">
        <v>20</v>
      </c>
      <c r="H43" s="70">
        <v>376832713</v>
      </c>
    </row>
    <row r="44" spans="1:8" x14ac:dyDescent="0.2">
      <c r="A44" s="88">
        <v>43846</v>
      </c>
      <c r="B44" s="70" t="s">
        <v>185</v>
      </c>
      <c r="C44" s="70" t="s">
        <v>157</v>
      </c>
      <c r="D44" s="70" t="s">
        <v>158</v>
      </c>
      <c r="E44" s="88">
        <v>44148</v>
      </c>
      <c r="F44" s="89">
        <v>432</v>
      </c>
      <c r="G44" s="89">
        <v>72</v>
      </c>
      <c r="H44" s="70">
        <v>329194777</v>
      </c>
    </row>
    <row r="45" spans="1:8" x14ac:dyDescent="0.2">
      <c r="A45" s="88">
        <v>44179</v>
      </c>
      <c r="B45" s="70" t="s">
        <v>171</v>
      </c>
      <c r="C45" s="70" t="s">
        <v>172</v>
      </c>
      <c r="D45" s="70">
        <v>303821</v>
      </c>
      <c r="E45" s="88">
        <v>44162</v>
      </c>
      <c r="F45" s="89">
        <v>240</v>
      </c>
      <c r="G45" s="89">
        <v>40</v>
      </c>
      <c r="H45" s="70">
        <v>120431530</v>
      </c>
    </row>
    <row r="46" spans="1:8" x14ac:dyDescent="0.2">
      <c r="A46" s="88">
        <v>44179</v>
      </c>
      <c r="B46" s="70" t="s">
        <v>195</v>
      </c>
      <c r="C46" s="70" t="s">
        <v>196</v>
      </c>
      <c r="D46" s="70">
        <v>30199</v>
      </c>
      <c r="E46" s="88">
        <v>44165</v>
      </c>
      <c r="F46" s="89">
        <v>576</v>
      </c>
      <c r="G46" s="89">
        <v>96</v>
      </c>
      <c r="H46" s="70" t="s">
        <v>199</v>
      </c>
    </row>
    <row r="47" spans="1:8" x14ac:dyDescent="0.2">
      <c r="E47" s="59"/>
      <c r="F47" s="67">
        <f>SUM(F20:F46)</f>
        <v>6467.5</v>
      </c>
      <c r="G47" s="67">
        <f>SUM(G20:G46)</f>
        <v>1054.57</v>
      </c>
    </row>
    <row r="48" spans="1:8" x14ac:dyDescent="0.2">
      <c r="E48" s="59"/>
    </row>
    <row r="49" spans="1:8" x14ac:dyDescent="0.2">
      <c r="B49" s="68" t="s">
        <v>267</v>
      </c>
    </row>
    <row r="50" spans="1:8" ht="48" x14ac:dyDescent="0.2">
      <c r="A50" s="88"/>
      <c r="B50" s="63" t="s">
        <v>101</v>
      </c>
      <c r="C50" s="63" t="s">
        <v>107</v>
      </c>
      <c r="D50" s="63" t="s">
        <v>82</v>
      </c>
      <c r="E50" s="65" t="s">
        <v>111</v>
      </c>
      <c r="F50" s="64" t="s">
        <v>112</v>
      </c>
      <c r="G50" s="64" t="s">
        <v>108</v>
      </c>
      <c r="H50" s="63" t="s">
        <v>109</v>
      </c>
    </row>
    <row r="51" spans="1:8" ht="16" x14ac:dyDescent="0.2">
      <c r="A51" s="88"/>
      <c r="B51" s="55" t="s">
        <v>95</v>
      </c>
      <c r="C51" s="55" t="s">
        <v>162</v>
      </c>
      <c r="D51" s="71" t="s">
        <v>169</v>
      </c>
      <c r="E51" s="98">
        <v>44172</v>
      </c>
      <c r="F51" s="99">
        <v>61.92</v>
      </c>
      <c r="G51" s="99">
        <v>10.32</v>
      </c>
      <c r="H51" s="100" t="s">
        <v>225</v>
      </c>
    </row>
    <row r="52" spans="1:8" ht="16" x14ac:dyDescent="0.2">
      <c r="A52" s="88">
        <v>44179</v>
      </c>
      <c r="B52" s="55" t="s">
        <v>95</v>
      </c>
      <c r="C52" s="55" t="s">
        <v>166</v>
      </c>
      <c r="D52" s="71" t="s">
        <v>168</v>
      </c>
      <c r="E52" s="98">
        <v>44170</v>
      </c>
      <c r="F52" s="99">
        <v>27.06</v>
      </c>
      <c r="G52" s="99">
        <v>4.62</v>
      </c>
      <c r="H52" s="100" t="s">
        <v>223</v>
      </c>
    </row>
    <row r="53" spans="1:8" ht="16" x14ac:dyDescent="0.2">
      <c r="A53" s="88">
        <v>44179</v>
      </c>
      <c r="B53" s="61" t="s">
        <v>95</v>
      </c>
      <c r="C53" s="61" t="s">
        <v>167</v>
      </c>
      <c r="D53" s="91" t="s">
        <v>170</v>
      </c>
      <c r="E53" s="98">
        <v>44172</v>
      </c>
      <c r="F53" s="99">
        <v>11.99</v>
      </c>
      <c r="G53" s="99">
        <v>2</v>
      </c>
      <c r="H53" s="100" t="s">
        <v>224</v>
      </c>
    </row>
    <row r="54" spans="1:8" x14ac:dyDescent="0.2">
      <c r="A54" s="88">
        <v>44553</v>
      </c>
      <c r="B54" s="70" t="s">
        <v>140</v>
      </c>
      <c r="C54" s="70" t="s">
        <v>211</v>
      </c>
      <c r="D54" s="70" t="s">
        <v>212</v>
      </c>
      <c r="E54" s="88">
        <v>44186</v>
      </c>
      <c r="F54" s="89">
        <v>384</v>
      </c>
      <c r="G54" s="89">
        <v>64</v>
      </c>
      <c r="H54" s="70">
        <v>665048328</v>
      </c>
    </row>
    <row r="55" spans="1:8" x14ac:dyDescent="0.2">
      <c r="A55" s="88">
        <v>44208</v>
      </c>
      <c r="B55" s="70" t="s">
        <v>136</v>
      </c>
      <c r="C55" s="70" t="s">
        <v>214</v>
      </c>
      <c r="D55" s="70">
        <v>7083</v>
      </c>
      <c r="E55" s="88">
        <v>44200</v>
      </c>
      <c r="F55" s="89">
        <v>15400.8</v>
      </c>
      <c r="G55" s="89">
        <v>2566.8000000000002</v>
      </c>
      <c r="H55" s="70">
        <v>582552525</v>
      </c>
    </row>
    <row r="56" spans="1:8" x14ac:dyDescent="0.2">
      <c r="A56" s="88">
        <v>44208</v>
      </c>
      <c r="B56" s="70" t="s">
        <v>136</v>
      </c>
      <c r="C56" s="70" t="s">
        <v>215</v>
      </c>
      <c r="D56" s="70">
        <v>7084</v>
      </c>
      <c r="E56" s="88">
        <v>44200</v>
      </c>
      <c r="F56" s="89">
        <v>2614.8000000000002</v>
      </c>
      <c r="G56" s="89">
        <v>435.8</v>
      </c>
      <c r="H56" s="70">
        <v>582552525</v>
      </c>
    </row>
    <row r="57" spans="1:8" x14ac:dyDescent="0.2">
      <c r="A57" s="88">
        <v>44222</v>
      </c>
      <c r="B57" s="70" t="s">
        <v>31</v>
      </c>
      <c r="C57" s="70" t="s">
        <v>216</v>
      </c>
      <c r="D57" s="70">
        <v>14594</v>
      </c>
      <c r="E57" s="88">
        <v>44211</v>
      </c>
      <c r="F57" s="89">
        <v>36</v>
      </c>
      <c r="G57" s="89">
        <v>6</v>
      </c>
      <c r="H57" s="70">
        <v>167413406</v>
      </c>
    </row>
    <row r="58" spans="1:8" x14ac:dyDescent="0.2">
      <c r="A58" s="88">
        <v>44244</v>
      </c>
      <c r="B58" s="70" t="s">
        <v>31</v>
      </c>
      <c r="C58" s="70" t="s">
        <v>216</v>
      </c>
      <c r="D58" s="70">
        <v>14639</v>
      </c>
      <c r="E58" s="88">
        <v>44221</v>
      </c>
      <c r="F58" s="89">
        <v>36</v>
      </c>
      <c r="G58" s="89">
        <v>6</v>
      </c>
      <c r="H58" s="70">
        <v>167413406</v>
      </c>
    </row>
    <row r="59" spans="1:8" x14ac:dyDescent="0.2">
      <c r="A59" s="88">
        <v>44244</v>
      </c>
      <c r="B59" s="70" t="s">
        <v>95</v>
      </c>
      <c r="C59" s="70" t="s">
        <v>218</v>
      </c>
      <c r="D59" s="70" t="s">
        <v>219</v>
      </c>
      <c r="E59" s="88">
        <v>44236</v>
      </c>
      <c r="F59" s="89">
        <v>73.12</v>
      </c>
      <c r="G59" s="89">
        <v>12.19</v>
      </c>
      <c r="H59" s="70">
        <v>61157341</v>
      </c>
    </row>
    <row r="60" spans="1:8" x14ac:dyDescent="0.2">
      <c r="A60" s="88">
        <v>44256</v>
      </c>
      <c r="B60" s="70" t="s">
        <v>154</v>
      </c>
      <c r="C60" s="70" t="s">
        <v>217</v>
      </c>
      <c r="D60" s="70">
        <v>43230</v>
      </c>
      <c r="E60" s="88">
        <v>44252</v>
      </c>
      <c r="F60" s="89">
        <v>103.64</v>
      </c>
      <c r="G60" s="89">
        <v>17.27</v>
      </c>
      <c r="H60" s="70">
        <v>194101875</v>
      </c>
    </row>
    <row r="61" spans="1:8" x14ac:dyDescent="0.2">
      <c r="A61" s="88">
        <v>44260</v>
      </c>
      <c r="B61" s="70" t="s">
        <v>95</v>
      </c>
      <c r="C61" s="70" t="s">
        <v>221</v>
      </c>
      <c r="D61" s="70" t="s">
        <v>220</v>
      </c>
      <c r="E61" s="88">
        <v>44239</v>
      </c>
      <c r="F61" s="89">
        <v>26.39</v>
      </c>
      <c r="G61" s="89">
        <v>4.4000000000000004</v>
      </c>
      <c r="H61" s="70" t="s">
        <v>226</v>
      </c>
    </row>
    <row r="62" spans="1:8" x14ac:dyDescent="0.2">
      <c r="A62" s="88">
        <v>44260</v>
      </c>
      <c r="B62" s="70" t="s">
        <v>95</v>
      </c>
      <c r="C62" s="70" t="s">
        <v>222</v>
      </c>
      <c r="D62" s="70">
        <v>17405</v>
      </c>
      <c r="E62" s="88">
        <v>44264</v>
      </c>
      <c r="F62" s="89">
        <v>86.4</v>
      </c>
      <c r="G62" s="89">
        <v>14.4</v>
      </c>
      <c r="H62" s="70">
        <v>887750270</v>
      </c>
    </row>
    <row r="63" spans="1:8" x14ac:dyDescent="0.2">
      <c r="A63" s="88"/>
      <c r="B63" s="70" t="s">
        <v>95</v>
      </c>
      <c r="C63" s="70" t="s">
        <v>227</v>
      </c>
      <c r="D63" s="70" t="s">
        <v>228</v>
      </c>
      <c r="E63" s="88">
        <v>44244</v>
      </c>
      <c r="F63" s="89">
        <v>6.85</v>
      </c>
      <c r="G63" s="89">
        <v>0.76</v>
      </c>
      <c r="H63" s="70" t="s">
        <v>229</v>
      </c>
    </row>
    <row r="64" spans="1:8" x14ac:dyDescent="0.2">
      <c r="G64" s="66">
        <f>SUM(G51:G63)</f>
        <v>3144.5600000000009</v>
      </c>
    </row>
    <row r="65" spans="1:8" x14ac:dyDescent="0.2">
      <c r="B65" s="68" t="s">
        <v>268</v>
      </c>
    </row>
    <row r="66" spans="1:8" ht="48" x14ac:dyDescent="0.2">
      <c r="A66" s="88" t="s">
        <v>269</v>
      </c>
      <c r="B66" s="63" t="s">
        <v>101</v>
      </c>
      <c r="C66" s="63" t="s">
        <v>107</v>
      </c>
      <c r="D66" s="63" t="s">
        <v>82</v>
      </c>
      <c r="E66" s="65" t="s">
        <v>111</v>
      </c>
      <c r="F66" s="64" t="s">
        <v>112</v>
      </c>
      <c r="G66" s="64" t="s">
        <v>108</v>
      </c>
      <c r="H66" s="63" t="s">
        <v>109</v>
      </c>
    </row>
    <row r="67" spans="1:8" x14ac:dyDescent="0.2">
      <c r="A67" s="88">
        <v>44298</v>
      </c>
      <c r="B67" s="55" t="s">
        <v>129</v>
      </c>
      <c r="C67" s="55" t="s">
        <v>232</v>
      </c>
      <c r="D67" s="71">
        <v>13745</v>
      </c>
      <c r="E67" s="88">
        <v>44286</v>
      </c>
      <c r="F67" s="97">
        <v>414</v>
      </c>
      <c r="G67" s="97">
        <v>69</v>
      </c>
      <c r="H67" s="70">
        <v>321943962</v>
      </c>
    </row>
    <row r="68" spans="1:8" x14ac:dyDescent="0.2">
      <c r="A68" s="88">
        <v>44504</v>
      </c>
      <c r="B68" s="55" t="s">
        <v>97</v>
      </c>
      <c r="C68" s="55" t="s">
        <v>234</v>
      </c>
      <c r="D68" s="71">
        <v>30117</v>
      </c>
      <c r="E68" s="88">
        <v>44130</v>
      </c>
      <c r="F68" s="97">
        <v>60</v>
      </c>
      <c r="G68" s="97">
        <v>10</v>
      </c>
      <c r="H68" s="70">
        <v>744541532</v>
      </c>
    </row>
    <row r="69" spans="1:8" x14ac:dyDescent="0.2">
      <c r="A69" s="88">
        <v>44286</v>
      </c>
      <c r="B69" s="55" t="s">
        <v>93</v>
      </c>
      <c r="C69" s="55" t="s">
        <v>235</v>
      </c>
      <c r="D69" s="71">
        <v>602449280</v>
      </c>
      <c r="E69" s="88">
        <v>44286</v>
      </c>
      <c r="F69" s="97">
        <v>356.92</v>
      </c>
      <c r="G69" s="97">
        <v>59.48</v>
      </c>
      <c r="H69" s="70">
        <v>193548138</v>
      </c>
    </row>
    <row r="70" spans="1:8" x14ac:dyDescent="0.2">
      <c r="A70" s="88">
        <v>44298</v>
      </c>
      <c r="B70" s="55" t="s">
        <v>134</v>
      </c>
      <c r="C70" s="55" t="s">
        <v>230</v>
      </c>
      <c r="D70" s="71">
        <v>489511</v>
      </c>
      <c r="E70" s="88">
        <v>44295</v>
      </c>
      <c r="F70" s="97">
        <v>264</v>
      </c>
      <c r="G70" s="97">
        <v>44</v>
      </c>
      <c r="H70" s="70">
        <v>819157023</v>
      </c>
    </row>
    <row r="71" spans="1:8" x14ac:dyDescent="0.2">
      <c r="A71" s="88">
        <v>44298</v>
      </c>
      <c r="B71" s="55" t="s">
        <v>134</v>
      </c>
      <c r="C71" s="55" t="s">
        <v>270</v>
      </c>
      <c r="D71" s="71">
        <v>489513</v>
      </c>
      <c r="E71" s="88">
        <v>44295</v>
      </c>
      <c r="F71" s="97">
        <v>86.4</v>
      </c>
      <c r="G71" s="97">
        <v>14.4</v>
      </c>
      <c r="H71" s="70">
        <v>819157023</v>
      </c>
    </row>
    <row r="72" spans="1:8" x14ac:dyDescent="0.2">
      <c r="A72" s="88">
        <v>44326</v>
      </c>
      <c r="B72" s="55" t="s">
        <v>129</v>
      </c>
      <c r="C72" s="55" t="s">
        <v>236</v>
      </c>
      <c r="D72" s="71">
        <v>13807</v>
      </c>
      <c r="E72" s="88">
        <v>44316</v>
      </c>
      <c r="F72" s="97">
        <v>414</v>
      </c>
      <c r="G72" s="97">
        <v>69</v>
      </c>
      <c r="H72" s="70">
        <v>321943962</v>
      </c>
    </row>
    <row r="73" spans="1:8" x14ac:dyDescent="0.2">
      <c r="A73" s="88">
        <v>44327</v>
      </c>
      <c r="B73" s="55" t="s">
        <v>134</v>
      </c>
      <c r="C73" s="55" t="s">
        <v>237</v>
      </c>
      <c r="D73" s="71">
        <v>391</v>
      </c>
      <c r="E73" s="88">
        <v>44309</v>
      </c>
      <c r="F73" s="97">
        <v>5.62</v>
      </c>
      <c r="G73" s="97">
        <v>1.1200000000000001</v>
      </c>
      <c r="H73" s="70">
        <v>222516987</v>
      </c>
    </row>
    <row r="74" spans="1:8" x14ac:dyDescent="0.2">
      <c r="A74" s="88">
        <v>44361</v>
      </c>
      <c r="B74" s="55" t="s">
        <v>129</v>
      </c>
      <c r="C74" s="55" t="s">
        <v>238</v>
      </c>
      <c r="D74" s="71">
        <v>13865</v>
      </c>
      <c r="E74" s="88">
        <v>44347</v>
      </c>
      <c r="F74" s="97">
        <v>828</v>
      </c>
      <c r="G74" s="97">
        <v>138</v>
      </c>
      <c r="H74" s="70">
        <v>321943962</v>
      </c>
    </row>
    <row r="75" spans="1:8" x14ac:dyDescent="0.2">
      <c r="A75" s="88">
        <v>44362</v>
      </c>
      <c r="B75" s="109" t="s">
        <v>95</v>
      </c>
      <c r="C75" s="70" t="s">
        <v>240</v>
      </c>
      <c r="D75" s="71" t="s">
        <v>244</v>
      </c>
      <c r="E75" s="88">
        <v>44362</v>
      </c>
      <c r="F75" s="97">
        <v>208.4</v>
      </c>
      <c r="G75" s="97">
        <v>34.74</v>
      </c>
      <c r="H75" s="70">
        <v>895296854</v>
      </c>
    </row>
    <row r="76" spans="1:8" ht="16" x14ac:dyDescent="0.2">
      <c r="A76" s="88">
        <v>44384</v>
      </c>
      <c r="B76" s="110" t="s">
        <v>241</v>
      </c>
      <c r="C76" s="100" t="s">
        <v>242</v>
      </c>
      <c r="D76" s="71" t="s">
        <v>245</v>
      </c>
      <c r="E76" s="88">
        <v>44384</v>
      </c>
      <c r="F76" s="97">
        <v>450</v>
      </c>
      <c r="G76" s="97">
        <v>75</v>
      </c>
      <c r="H76" s="70">
        <v>329194777</v>
      </c>
    </row>
    <row r="77" spans="1:8" x14ac:dyDescent="0.2">
      <c r="A77" s="88">
        <v>44384</v>
      </c>
      <c r="B77" s="109" t="s">
        <v>129</v>
      </c>
      <c r="C77" s="109" t="s">
        <v>243</v>
      </c>
      <c r="D77" s="71">
        <v>13924</v>
      </c>
      <c r="E77" s="88">
        <v>44377</v>
      </c>
      <c r="F77" s="97">
        <v>828</v>
      </c>
      <c r="G77" s="97">
        <v>138</v>
      </c>
      <c r="H77" s="70">
        <v>321943962</v>
      </c>
    </row>
    <row r="78" spans="1:8" x14ac:dyDescent="0.2">
      <c r="A78" s="88">
        <v>44392</v>
      </c>
      <c r="B78" s="109" t="s">
        <v>246</v>
      </c>
      <c r="C78" s="70" t="s">
        <v>271</v>
      </c>
      <c r="D78" s="71">
        <v>2287</v>
      </c>
      <c r="E78" s="88">
        <v>44392</v>
      </c>
      <c r="F78" s="97">
        <v>117.6</v>
      </c>
      <c r="G78" s="97">
        <v>19.600000000000001</v>
      </c>
      <c r="H78" s="70">
        <v>372837764</v>
      </c>
    </row>
    <row r="79" spans="1:8" x14ac:dyDescent="0.2">
      <c r="A79" s="88">
        <v>44428</v>
      </c>
      <c r="B79" s="109" t="s">
        <v>95</v>
      </c>
      <c r="C79" s="70" t="s">
        <v>247</v>
      </c>
      <c r="D79" s="71">
        <v>96841634</v>
      </c>
      <c r="E79" s="88">
        <v>44390</v>
      </c>
      <c r="F79" s="97">
        <v>143.88</v>
      </c>
      <c r="G79" s="97">
        <v>23.98</v>
      </c>
      <c r="H79" s="70" t="s">
        <v>272</v>
      </c>
    </row>
    <row r="80" spans="1:8" x14ac:dyDescent="0.2">
      <c r="A80" s="88">
        <v>44428</v>
      </c>
      <c r="B80" s="109" t="s">
        <v>129</v>
      </c>
      <c r="C80" s="70" t="s">
        <v>248</v>
      </c>
      <c r="D80" s="71">
        <v>13981</v>
      </c>
      <c r="E80" s="88">
        <v>44408</v>
      </c>
      <c r="F80" s="97">
        <v>414</v>
      </c>
      <c r="G80" s="97">
        <v>69</v>
      </c>
      <c r="H80" s="70">
        <v>321943962</v>
      </c>
    </row>
    <row r="81" spans="1:8" x14ac:dyDescent="0.2">
      <c r="A81" s="88">
        <v>44452</v>
      </c>
      <c r="B81" s="109" t="s">
        <v>129</v>
      </c>
      <c r="C81" s="70" t="s">
        <v>250</v>
      </c>
      <c r="D81" s="71">
        <v>14036</v>
      </c>
      <c r="E81" s="88">
        <v>44439</v>
      </c>
      <c r="F81" s="97">
        <v>828</v>
      </c>
      <c r="G81" s="97">
        <v>138</v>
      </c>
      <c r="H81" s="70">
        <v>321943962</v>
      </c>
    </row>
    <row r="82" spans="1:8" x14ac:dyDescent="0.2">
      <c r="A82" s="88">
        <v>44494</v>
      </c>
      <c r="B82" s="109" t="s">
        <v>129</v>
      </c>
      <c r="C82" s="70" t="s">
        <v>254</v>
      </c>
      <c r="D82" s="71">
        <v>14100</v>
      </c>
      <c r="E82" s="88">
        <v>44469</v>
      </c>
      <c r="F82" s="97">
        <v>828</v>
      </c>
      <c r="G82" s="97">
        <v>138</v>
      </c>
      <c r="H82" s="70">
        <v>321943962</v>
      </c>
    </row>
    <row r="83" spans="1:8" x14ac:dyDescent="0.2">
      <c r="A83" s="88">
        <v>44497</v>
      </c>
      <c r="B83" s="109" t="s">
        <v>97</v>
      </c>
      <c r="C83" s="70" t="s">
        <v>253</v>
      </c>
      <c r="D83" s="71">
        <v>30861</v>
      </c>
      <c r="E83" s="88">
        <v>44494</v>
      </c>
      <c r="F83" s="97">
        <v>60</v>
      </c>
      <c r="G83" s="97">
        <v>10</v>
      </c>
      <c r="H83" s="70">
        <v>744541532</v>
      </c>
    </row>
    <row r="84" spans="1:8" x14ac:dyDescent="0.2">
      <c r="A84" s="88">
        <v>44515</v>
      </c>
      <c r="B84" s="109" t="s">
        <v>255</v>
      </c>
      <c r="C84" s="70" t="s">
        <v>273</v>
      </c>
      <c r="D84" s="71">
        <v>96904</v>
      </c>
      <c r="E84" s="88">
        <v>44494</v>
      </c>
      <c r="F84" s="97">
        <v>453.75</v>
      </c>
      <c r="G84" s="97">
        <v>75.63</v>
      </c>
      <c r="H84" s="70">
        <v>859024315</v>
      </c>
    </row>
    <row r="85" spans="1:8" x14ac:dyDescent="0.2">
      <c r="A85" s="88">
        <v>44515</v>
      </c>
      <c r="B85" s="109" t="s">
        <v>113</v>
      </c>
      <c r="C85" s="70" t="s">
        <v>256</v>
      </c>
      <c r="D85" s="71">
        <v>50368</v>
      </c>
      <c r="E85" s="88">
        <v>44502</v>
      </c>
      <c r="F85" s="97">
        <v>84</v>
      </c>
      <c r="G85" s="97">
        <v>14</v>
      </c>
      <c r="H85" s="70">
        <v>899727928</v>
      </c>
    </row>
    <row r="86" spans="1:8" x14ac:dyDescent="0.2">
      <c r="A86" s="88">
        <v>44515</v>
      </c>
      <c r="B86" s="109" t="s">
        <v>171</v>
      </c>
      <c r="C86" s="70" t="s">
        <v>257</v>
      </c>
      <c r="D86" s="71">
        <v>307878</v>
      </c>
      <c r="E86" s="88">
        <v>44462</v>
      </c>
      <c r="F86" s="97">
        <v>240</v>
      </c>
      <c r="G86" s="97">
        <v>40</v>
      </c>
      <c r="H86" s="70">
        <v>120431530</v>
      </c>
    </row>
    <row r="87" spans="1:8" x14ac:dyDescent="0.2">
      <c r="A87" s="88">
        <v>44517</v>
      </c>
      <c r="B87" s="55" t="s">
        <v>129</v>
      </c>
      <c r="C87" s="55" t="s">
        <v>258</v>
      </c>
      <c r="D87" s="71">
        <v>14168</v>
      </c>
      <c r="E87" s="88">
        <v>44500</v>
      </c>
      <c r="F87" s="97">
        <v>414</v>
      </c>
      <c r="G87" s="97">
        <v>69</v>
      </c>
      <c r="H87" s="70">
        <v>321943962</v>
      </c>
    </row>
    <row r="88" spans="1:8" x14ac:dyDescent="0.2">
      <c r="A88" s="88">
        <v>44544</v>
      </c>
      <c r="B88" s="70" t="s">
        <v>95</v>
      </c>
      <c r="C88" s="70" t="s">
        <v>259</v>
      </c>
      <c r="D88" s="71" t="s">
        <v>265</v>
      </c>
      <c r="E88" s="88">
        <v>44509</v>
      </c>
      <c r="F88" s="97">
        <v>95.88</v>
      </c>
      <c r="G88" s="97">
        <v>15.98</v>
      </c>
      <c r="H88" s="70" t="s">
        <v>187</v>
      </c>
    </row>
    <row r="89" spans="1:8" x14ac:dyDescent="0.2">
      <c r="A89" s="88">
        <v>44544</v>
      </c>
      <c r="B89" s="70" t="s">
        <v>97</v>
      </c>
      <c r="C89" s="70" t="s">
        <v>260</v>
      </c>
      <c r="D89" s="71">
        <v>30928</v>
      </c>
      <c r="E89" s="88">
        <v>44525</v>
      </c>
      <c r="F89" s="97">
        <v>150</v>
      </c>
      <c r="G89" s="97">
        <v>25</v>
      </c>
      <c r="H89" s="70">
        <v>744541532</v>
      </c>
    </row>
    <row r="90" spans="1:8" x14ac:dyDescent="0.2">
      <c r="A90" s="88">
        <v>44544</v>
      </c>
      <c r="B90" s="70" t="s">
        <v>261</v>
      </c>
      <c r="C90" s="70" t="s">
        <v>262</v>
      </c>
      <c r="D90" s="71" t="s">
        <v>274</v>
      </c>
      <c r="E90" s="88">
        <v>44526</v>
      </c>
      <c r="F90" s="97">
        <v>150</v>
      </c>
      <c r="G90" s="97">
        <v>25</v>
      </c>
      <c r="H90" s="70">
        <v>376832713</v>
      </c>
    </row>
    <row r="91" spans="1:8" x14ac:dyDescent="0.2">
      <c r="A91" s="88">
        <v>44544</v>
      </c>
      <c r="B91" s="70" t="s">
        <v>263</v>
      </c>
      <c r="C91" s="70" t="s">
        <v>264</v>
      </c>
      <c r="D91" s="71">
        <v>30944</v>
      </c>
      <c r="E91" s="88">
        <v>44530</v>
      </c>
      <c r="F91" s="97">
        <v>576</v>
      </c>
      <c r="G91" s="97">
        <v>96</v>
      </c>
      <c r="H91" s="70">
        <v>744541532</v>
      </c>
    </row>
    <row r="92" spans="1:8" x14ac:dyDescent="0.2">
      <c r="A92" s="88">
        <v>44544</v>
      </c>
      <c r="B92" s="70" t="s">
        <v>95</v>
      </c>
      <c r="C92" s="70" t="s">
        <v>278</v>
      </c>
      <c r="D92" s="71" t="s">
        <v>275</v>
      </c>
      <c r="E92" s="88">
        <v>44543</v>
      </c>
      <c r="F92" s="97">
        <v>52.3</v>
      </c>
      <c r="G92" s="97">
        <v>8.7200000000000006</v>
      </c>
      <c r="H92" s="70">
        <v>385529654</v>
      </c>
    </row>
    <row r="93" spans="1:8" x14ac:dyDescent="0.2">
      <c r="A93" s="88">
        <v>44544</v>
      </c>
      <c r="B93" s="70" t="s">
        <v>95</v>
      </c>
      <c r="C93" s="70" t="s">
        <v>277</v>
      </c>
      <c r="D93" s="71" t="s">
        <v>276</v>
      </c>
      <c r="E93" s="88">
        <v>44543</v>
      </c>
      <c r="F93" s="97">
        <v>25.7</v>
      </c>
      <c r="G93" s="97">
        <v>4.28</v>
      </c>
      <c r="H93" s="70">
        <v>385529654</v>
      </c>
    </row>
    <row r="94" spans="1:8" x14ac:dyDescent="0.2">
      <c r="A94" s="88">
        <v>44544</v>
      </c>
      <c r="B94" s="70" t="s">
        <v>129</v>
      </c>
      <c r="C94" s="55" t="s">
        <v>266</v>
      </c>
      <c r="D94" s="71">
        <v>14237</v>
      </c>
      <c r="E94" s="88">
        <v>44530</v>
      </c>
      <c r="F94" s="97">
        <v>414</v>
      </c>
      <c r="G94" s="97">
        <v>69</v>
      </c>
      <c r="H94" s="70">
        <v>321943962</v>
      </c>
    </row>
    <row r="95" spans="1:8" x14ac:dyDescent="0.2">
      <c r="A95" s="88">
        <v>44544</v>
      </c>
      <c r="B95" s="70" t="s">
        <v>231</v>
      </c>
      <c r="C95" s="70" t="s">
        <v>279</v>
      </c>
      <c r="D95" s="71">
        <v>70704</v>
      </c>
      <c r="E95" s="88">
        <v>44517</v>
      </c>
      <c r="F95" s="97">
        <v>12.95</v>
      </c>
      <c r="G95" s="97">
        <v>2.16</v>
      </c>
      <c r="H95" s="70">
        <v>751847510</v>
      </c>
    </row>
    <row r="96" spans="1:8" x14ac:dyDescent="0.2">
      <c r="A96" s="88">
        <v>44544</v>
      </c>
      <c r="B96" s="70" t="s">
        <v>231</v>
      </c>
      <c r="C96" s="70" t="s">
        <v>282</v>
      </c>
      <c r="D96" s="71" t="s">
        <v>280</v>
      </c>
      <c r="E96" s="88">
        <v>44512</v>
      </c>
      <c r="F96" s="97">
        <v>11.98</v>
      </c>
      <c r="G96" s="97">
        <v>2</v>
      </c>
      <c r="H96" s="70" t="s">
        <v>281</v>
      </c>
    </row>
    <row r="97" spans="1:8" x14ac:dyDescent="0.2">
      <c r="A97" s="88">
        <v>44544</v>
      </c>
      <c r="B97" s="70" t="s">
        <v>231</v>
      </c>
      <c r="C97" s="70" t="s">
        <v>283</v>
      </c>
      <c r="D97" s="71">
        <v>2343206</v>
      </c>
      <c r="E97" s="88">
        <v>44526</v>
      </c>
      <c r="F97" s="97">
        <v>40.96</v>
      </c>
      <c r="G97" s="97">
        <v>6.83</v>
      </c>
      <c r="H97" s="70" t="s">
        <v>284</v>
      </c>
    </row>
    <row r="98" spans="1:8" x14ac:dyDescent="0.2">
      <c r="F98" s="111">
        <f>SUM(F67:F97)</f>
        <v>9028.34</v>
      </c>
      <c r="G98" s="111">
        <f>SUM(G67:G97)</f>
        <v>1504.9200000000003</v>
      </c>
      <c r="H98" s="60" t="s">
        <v>285</v>
      </c>
    </row>
    <row r="99" spans="1:8" x14ac:dyDescent="0.2">
      <c r="B99" s="68" t="s">
        <v>329</v>
      </c>
    </row>
    <row r="100" spans="1:8" ht="48" x14ac:dyDescent="0.2">
      <c r="A100" s="88" t="s">
        <v>269</v>
      </c>
      <c r="B100" s="63" t="s">
        <v>101</v>
      </c>
      <c r="C100" s="63" t="s">
        <v>107</v>
      </c>
      <c r="D100" s="63" t="s">
        <v>82</v>
      </c>
      <c r="E100" s="65" t="s">
        <v>111</v>
      </c>
      <c r="F100" s="64" t="s">
        <v>112</v>
      </c>
      <c r="G100" s="64" t="s">
        <v>108</v>
      </c>
      <c r="H100" s="63" t="s">
        <v>109</v>
      </c>
    </row>
    <row r="101" spans="1:8" x14ac:dyDescent="0.2">
      <c r="A101" s="88">
        <v>44574</v>
      </c>
      <c r="B101" s="70" t="s">
        <v>286</v>
      </c>
      <c r="C101" s="70" t="s">
        <v>287</v>
      </c>
      <c r="D101" s="70" t="s">
        <v>249</v>
      </c>
      <c r="E101" s="88">
        <v>44530</v>
      </c>
      <c r="F101" s="97">
        <v>20.88</v>
      </c>
      <c r="G101" s="97">
        <v>3.48</v>
      </c>
      <c r="H101" s="70">
        <v>755163721</v>
      </c>
    </row>
    <row r="102" spans="1:8" x14ac:dyDescent="0.2">
      <c r="A102" s="88">
        <v>44579</v>
      </c>
      <c r="B102" s="70" t="s">
        <v>95</v>
      </c>
      <c r="C102" s="70" t="s">
        <v>227</v>
      </c>
      <c r="D102" s="70" t="s">
        <v>290</v>
      </c>
      <c r="E102" s="88">
        <v>44568</v>
      </c>
      <c r="F102" s="97">
        <v>15.91</v>
      </c>
      <c r="G102" s="97">
        <v>3.18</v>
      </c>
      <c r="H102" s="70">
        <v>727255821</v>
      </c>
    </row>
    <row r="103" spans="1:8" x14ac:dyDescent="0.2">
      <c r="A103" s="88">
        <v>44579</v>
      </c>
      <c r="B103" s="70" t="s">
        <v>288</v>
      </c>
      <c r="C103" s="70" t="s">
        <v>289</v>
      </c>
      <c r="D103" s="70">
        <v>658</v>
      </c>
      <c r="E103" s="88">
        <v>44577</v>
      </c>
      <c r="F103" s="97">
        <v>540</v>
      </c>
      <c r="G103" s="97">
        <v>90</v>
      </c>
      <c r="H103" s="70">
        <v>375930664</v>
      </c>
    </row>
    <row r="104" spans="1:8" x14ac:dyDescent="0.2">
      <c r="A104" s="88">
        <v>44607</v>
      </c>
      <c r="B104" s="70" t="s">
        <v>291</v>
      </c>
      <c r="C104" s="70" t="s">
        <v>293</v>
      </c>
      <c r="D104" s="70">
        <v>7485</v>
      </c>
      <c r="E104" s="88">
        <v>44606</v>
      </c>
      <c r="F104" s="97">
        <v>240</v>
      </c>
      <c r="G104" s="97">
        <v>40</v>
      </c>
      <c r="H104" s="70">
        <v>582552525</v>
      </c>
    </row>
    <row r="105" spans="1:8" x14ac:dyDescent="0.2">
      <c r="A105" s="88">
        <v>44634</v>
      </c>
      <c r="B105" s="70" t="s">
        <v>113</v>
      </c>
      <c r="C105" s="70" t="s">
        <v>292</v>
      </c>
      <c r="D105" s="70">
        <v>50535</v>
      </c>
      <c r="E105" s="88">
        <v>44607</v>
      </c>
      <c r="F105" s="97">
        <v>84</v>
      </c>
      <c r="G105" s="97">
        <v>14</v>
      </c>
      <c r="H105" s="70">
        <v>899727928</v>
      </c>
    </row>
    <row r="106" spans="1:8" x14ac:dyDescent="0.2">
      <c r="F106" s="66">
        <f>SUM(F101:F105)</f>
        <v>900.79</v>
      </c>
      <c r="G106" s="66">
        <f>SUM(G101:G105)</f>
        <v>150.66</v>
      </c>
    </row>
    <row r="108" spans="1:8" x14ac:dyDescent="0.2">
      <c r="B108" s="68" t="s">
        <v>336</v>
      </c>
    </row>
    <row r="109" spans="1:8" ht="48" x14ac:dyDescent="0.2">
      <c r="A109" s="65" t="s">
        <v>111</v>
      </c>
      <c r="B109" s="63" t="s">
        <v>101</v>
      </c>
      <c r="C109" s="63" t="s">
        <v>107</v>
      </c>
      <c r="D109" s="63" t="s">
        <v>82</v>
      </c>
      <c r="E109" s="65" t="s">
        <v>111</v>
      </c>
      <c r="F109" s="64" t="s">
        <v>112</v>
      </c>
      <c r="G109" s="64" t="s">
        <v>108</v>
      </c>
      <c r="H109" s="63" t="s">
        <v>109</v>
      </c>
    </row>
    <row r="110" spans="1:8" x14ac:dyDescent="0.2">
      <c r="A110" s="120">
        <v>44651</v>
      </c>
      <c r="B110" s="70" t="s">
        <v>93</v>
      </c>
      <c r="C110" s="70" t="s">
        <v>294</v>
      </c>
      <c r="D110" s="70">
        <v>602666410</v>
      </c>
      <c r="E110" s="70"/>
      <c r="F110" s="97">
        <v>361.92</v>
      </c>
      <c r="G110" s="97">
        <v>60.32</v>
      </c>
      <c r="H110" s="70">
        <v>193548138</v>
      </c>
    </row>
    <row r="111" spans="1:8" x14ac:dyDescent="0.2">
      <c r="A111" s="120">
        <v>44651</v>
      </c>
      <c r="B111" s="70" t="s">
        <v>129</v>
      </c>
      <c r="C111" s="70" t="s">
        <v>295</v>
      </c>
      <c r="D111" s="70">
        <v>14443</v>
      </c>
      <c r="E111" s="70"/>
      <c r="F111" s="97">
        <v>828</v>
      </c>
      <c r="G111" s="97">
        <v>138</v>
      </c>
      <c r="H111" s="70">
        <v>321943962</v>
      </c>
    </row>
    <row r="112" spans="1:8" x14ac:dyDescent="0.2">
      <c r="A112" s="120">
        <v>44682</v>
      </c>
      <c r="B112" s="70" t="s">
        <v>288</v>
      </c>
      <c r="C112" s="70" t="s">
        <v>298</v>
      </c>
      <c r="D112" s="70">
        <v>712</v>
      </c>
      <c r="E112" s="70"/>
      <c r="F112" s="97">
        <v>684</v>
      </c>
      <c r="G112" s="97">
        <v>114</v>
      </c>
      <c r="H112" s="70">
        <v>375930664</v>
      </c>
    </row>
    <row r="113" spans="1:8" x14ac:dyDescent="0.2">
      <c r="A113" s="120">
        <v>44685</v>
      </c>
      <c r="B113" s="70" t="s">
        <v>95</v>
      </c>
      <c r="C113" s="70" t="s">
        <v>301</v>
      </c>
      <c r="D113" s="70" t="s">
        <v>302</v>
      </c>
      <c r="E113" s="70"/>
      <c r="F113" s="97">
        <v>6.85</v>
      </c>
      <c r="G113" s="97">
        <v>1.1399999999999999</v>
      </c>
      <c r="H113" s="70" t="s">
        <v>330</v>
      </c>
    </row>
    <row r="114" spans="1:8" x14ac:dyDescent="0.2">
      <c r="A114" s="120">
        <v>44700</v>
      </c>
      <c r="B114" s="70" t="s">
        <v>95</v>
      </c>
      <c r="C114" s="70" t="s">
        <v>303</v>
      </c>
      <c r="D114" s="70" t="s">
        <v>304</v>
      </c>
      <c r="E114" s="70"/>
      <c r="F114" s="97">
        <v>332.88</v>
      </c>
      <c r="G114" s="97">
        <v>55.48</v>
      </c>
      <c r="H114" s="70" t="s">
        <v>330</v>
      </c>
    </row>
    <row r="115" spans="1:8" x14ac:dyDescent="0.2">
      <c r="A115" s="120">
        <v>44681</v>
      </c>
      <c r="B115" s="70" t="s">
        <v>129</v>
      </c>
      <c r="C115" s="70" t="s">
        <v>305</v>
      </c>
      <c r="D115" s="70">
        <v>14493</v>
      </c>
      <c r="E115" s="70"/>
      <c r="F115" s="97">
        <v>435.08</v>
      </c>
      <c r="G115" s="97">
        <v>72.52</v>
      </c>
      <c r="H115" s="70">
        <v>321943962</v>
      </c>
    </row>
    <row r="116" spans="1:8" x14ac:dyDescent="0.2">
      <c r="A116" s="120">
        <v>44690</v>
      </c>
      <c r="B116" s="70" t="s">
        <v>306</v>
      </c>
      <c r="C116" s="70" t="s">
        <v>297</v>
      </c>
      <c r="D116" s="70" t="s">
        <v>307</v>
      </c>
      <c r="E116" s="70"/>
      <c r="F116" s="97">
        <v>45</v>
      </c>
      <c r="G116" s="97">
        <v>7.5</v>
      </c>
      <c r="H116" s="70" t="s">
        <v>331</v>
      </c>
    </row>
    <row r="117" spans="1:8" x14ac:dyDescent="0.2">
      <c r="A117" s="120">
        <v>44708</v>
      </c>
      <c r="B117" s="70" t="s">
        <v>136</v>
      </c>
      <c r="C117" s="70" t="s">
        <v>308</v>
      </c>
      <c r="D117" s="70">
        <v>7573</v>
      </c>
      <c r="E117" s="70"/>
      <c r="F117" s="97">
        <v>1785.6</v>
      </c>
      <c r="G117" s="97">
        <v>297.60000000000002</v>
      </c>
      <c r="H117" s="70">
        <v>582552525</v>
      </c>
    </row>
    <row r="118" spans="1:8" x14ac:dyDescent="0.2">
      <c r="A118" s="120">
        <v>44711</v>
      </c>
      <c r="B118" s="70" t="s">
        <v>286</v>
      </c>
      <c r="C118" s="70" t="s">
        <v>309</v>
      </c>
      <c r="D118" s="70">
        <v>407824</v>
      </c>
      <c r="E118" s="70"/>
      <c r="F118" s="97">
        <v>72.42</v>
      </c>
      <c r="G118" s="97">
        <v>12.07</v>
      </c>
      <c r="H118" s="70" t="s">
        <v>332</v>
      </c>
    </row>
    <row r="119" spans="1:8" x14ac:dyDescent="0.2">
      <c r="A119" s="120">
        <v>44721</v>
      </c>
      <c r="B119" s="70" t="s">
        <v>136</v>
      </c>
      <c r="C119" s="70" t="s">
        <v>310</v>
      </c>
      <c r="D119" s="70">
        <v>7585</v>
      </c>
      <c r="E119" s="70"/>
      <c r="F119" s="97">
        <v>6030</v>
      </c>
      <c r="G119" s="97">
        <v>1005</v>
      </c>
      <c r="H119" s="70">
        <v>582552525</v>
      </c>
    </row>
    <row r="120" spans="1:8" x14ac:dyDescent="0.2">
      <c r="A120" s="120">
        <v>44721</v>
      </c>
      <c r="B120" s="70" t="s">
        <v>136</v>
      </c>
      <c r="C120" s="70" t="s">
        <v>311</v>
      </c>
      <c r="D120" s="70">
        <v>7583</v>
      </c>
      <c r="E120" s="70"/>
      <c r="F120" s="97">
        <v>14720.4</v>
      </c>
      <c r="G120" s="97">
        <v>2453.4</v>
      </c>
      <c r="H120" s="70">
        <v>582552525</v>
      </c>
    </row>
    <row r="121" spans="1:8" x14ac:dyDescent="0.2">
      <c r="A121" s="120">
        <v>44719</v>
      </c>
      <c r="B121" s="70" t="s">
        <v>312</v>
      </c>
      <c r="C121" s="70" t="s">
        <v>313</v>
      </c>
      <c r="D121" s="70">
        <v>729</v>
      </c>
      <c r="E121" s="70"/>
      <c r="F121" s="97">
        <v>552</v>
      </c>
      <c r="G121" s="97">
        <v>92</v>
      </c>
      <c r="H121" s="70">
        <v>375930664</v>
      </c>
    </row>
    <row r="122" spans="1:8" x14ac:dyDescent="0.2">
      <c r="A122" s="120">
        <v>44718</v>
      </c>
      <c r="B122" s="70" t="s">
        <v>113</v>
      </c>
      <c r="C122" s="70" t="s">
        <v>157</v>
      </c>
      <c r="D122" s="70">
        <v>19417</v>
      </c>
      <c r="E122" s="70"/>
      <c r="F122" s="97">
        <v>198</v>
      </c>
      <c r="G122" s="97">
        <v>33</v>
      </c>
      <c r="H122" s="70" t="s">
        <v>124</v>
      </c>
    </row>
    <row r="123" spans="1:8" x14ac:dyDescent="0.2">
      <c r="A123" s="120">
        <v>44713</v>
      </c>
      <c r="B123" s="70" t="s">
        <v>314</v>
      </c>
      <c r="C123" s="70" t="s">
        <v>315</v>
      </c>
      <c r="D123" s="70" t="s">
        <v>316</v>
      </c>
      <c r="E123" s="70"/>
      <c r="F123" s="97">
        <v>110.43</v>
      </c>
      <c r="G123" s="97">
        <v>2.5</v>
      </c>
      <c r="H123" s="70" t="s">
        <v>334</v>
      </c>
    </row>
    <row r="124" spans="1:8" x14ac:dyDescent="0.2">
      <c r="A124" s="120">
        <v>44712</v>
      </c>
      <c r="B124" s="70" t="s">
        <v>314</v>
      </c>
      <c r="C124" s="70" t="s">
        <v>315</v>
      </c>
      <c r="D124" s="70" t="s">
        <v>316</v>
      </c>
      <c r="E124" s="70"/>
      <c r="G124" s="97">
        <v>3.5</v>
      </c>
      <c r="H124" s="70" t="s">
        <v>333</v>
      </c>
    </row>
    <row r="125" spans="1:8" x14ac:dyDescent="0.2">
      <c r="A125" s="120">
        <v>44709</v>
      </c>
      <c r="B125" s="70" t="s">
        <v>314</v>
      </c>
      <c r="C125" s="70" t="s">
        <v>315</v>
      </c>
      <c r="D125" s="70" t="s">
        <v>316</v>
      </c>
      <c r="E125" s="70"/>
      <c r="F125" s="97"/>
      <c r="G125" s="97">
        <v>4.53</v>
      </c>
      <c r="H125" s="70">
        <v>547512245</v>
      </c>
    </row>
    <row r="126" spans="1:8" x14ac:dyDescent="0.2">
      <c r="A126" s="120">
        <v>44715</v>
      </c>
      <c r="B126" s="70" t="s">
        <v>314</v>
      </c>
      <c r="C126" s="70" t="s">
        <v>318</v>
      </c>
      <c r="D126" s="70" t="s">
        <v>317</v>
      </c>
      <c r="E126" s="70"/>
      <c r="F126" s="97">
        <v>7.59</v>
      </c>
      <c r="G126" s="97">
        <v>1.27</v>
      </c>
      <c r="H126" s="70" t="s">
        <v>110</v>
      </c>
    </row>
    <row r="127" spans="1:8" x14ac:dyDescent="0.2">
      <c r="A127" s="120">
        <v>44712</v>
      </c>
      <c r="B127" s="70" t="s">
        <v>129</v>
      </c>
      <c r="C127" s="70" t="s">
        <v>319</v>
      </c>
      <c r="D127" s="70">
        <v>14557</v>
      </c>
      <c r="E127" s="70"/>
      <c r="F127" s="97">
        <v>870.14</v>
      </c>
      <c r="G127" s="97">
        <v>145.02000000000001</v>
      </c>
      <c r="H127" s="70">
        <v>321943962</v>
      </c>
    </row>
    <row r="128" spans="1:8" x14ac:dyDescent="0.2">
      <c r="A128" s="120">
        <v>44685</v>
      </c>
      <c r="B128" s="70" t="s">
        <v>320</v>
      </c>
      <c r="C128" s="70" t="s">
        <v>321</v>
      </c>
      <c r="D128" s="70" t="s">
        <v>322</v>
      </c>
      <c r="E128" s="70"/>
      <c r="F128" s="97">
        <v>18.079999999999998</v>
      </c>
      <c r="G128" s="97">
        <v>0.51</v>
      </c>
      <c r="H128" s="70" t="s">
        <v>335</v>
      </c>
    </row>
    <row r="129" spans="1:8" x14ac:dyDescent="0.2">
      <c r="A129" s="120">
        <v>44720</v>
      </c>
      <c r="B129" s="70" t="s">
        <v>231</v>
      </c>
      <c r="C129" s="70" t="s">
        <v>324</v>
      </c>
      <c r="D129" s="70">
        <v>193723</v>
      </c>
      <c r="E129" s="70"/>
      <c r="F129" s="97">
        <v>47.09</v>
      </c>
      <c r="G129" s="97">
        <v>7.85</v>
      </c>
      <c r="H129" s="70">
        <v>322141611</v>
      </c>
    </row>
    <row r="130" spans="1:8" x14ac:dyDescent="0.2">
      <c r="A130" s="120">
        <v>44742</v>
      </c>
      <c r="B130" s="70" t="s">
        <v>129</v>
      </c>
      <c r="C130" s="70" t="s">
        <v>323</v>
      </c>
      <c r="D130" s="70">
        <v>14620</v>
      </c>
      <c r="E130" s="70"/>
      <c r="F130" s="97">
        <v>435.92</v>
      </c>
      <c r="G130" s="97">
        <v>72.66</v>
      </c>
      <c r="H130" s="70">
        <v>321943962</v>
      </c>
    </row>
    <row r="131" spans="1:8" x14ac:dyDescent="0.2">
      <c r="A131" s="120">
        <v>44767</v>
      </c>
      <c r="B131" s="70" t="s">
        <v>312</v>
      </c>
      <c r="C131" s="70" t="s">
        <v>325</v>
      </c>
      <c r="D131" s="70">
        <v>743</v>
      </c>
      <c r="E131" s="70"/>
      <c r="F131" s="97">
        <v>24</v>
      </c>
      <c r="G131" s="97">
        <v>4</v>
      </c>
      <c r="H131" s="70">
        <v>375930664</v>
      </c>
    </row>
    <row r="132" spans="1:8" x14ac:dyDescent="0.2">
      <c r="A132" s="88">
        <v>44773</v>
      </c>
      <c r="B132" s="109" t="s">
        <v>129</v>
      </c>
      <c r="C132" s="55" t="s">
        <v>327</v>
      </c>
      <c r="D132" s="121">
        <v>14684</v>
      </c>
      <c r="E132" s="1"/>
      <c r="F132" s="97">
        <v>435.92</v>
      </c>
      <c r="G132" s="97">
        <v>72.66</v>
      </c>
      <c r="H132" s="70">
        <v>321943962</v>
      </c>
    </row>
    <row r="133" spans="1:8" x14ac:dyDescent="0.2">
      <c r="G133" s="66">
        <f>SUM(G110:G132)</f>
        <v>4656.5300000000016</v>
      </c>
    </row>
    <row r="134" spans="1:8" x14ac:dyDescent="0.2">
      <c r="A134" s="88"/>
      <c r="B134" s="123" t="s">
        <v>367</v>
      </c>
      <c r="C134" s="70"/>
      <c r="D134" s="70"/>
      <c r="E134" s="70"/>
      <c r="F134" s="97"/>
      <c r="G134" s="97"/>
      <c r="H134" s="70"/>
    </row>
    <row r="135" spans="1:8" ht="48" x14ac:dyDescent="0.2">
      <c r="A135" s="65" t="s">
        <v>111</v>
      </c>
      <c r="B135" s="63" t="s">
        <v>101</v>
      </c>
      <c r="C135" s="63" t="s">
        <v>107</v>
      </c>
      <c r="D135" s="63" t="s">
        <v>82</v>
      </c>
      <c r="E135" s="65"/>
      <c r="F135" s="64" t="s">
        <v>112</v>
      </c>
      <c r="G135" s="64" t="s">
        <v>108</v>
      </c>
      <c r="H135" s="63" t="s">
        <v>109</v>
      </c>
    </row>
    <row r="136" spans="1:8" x14ac:dyDescent="0.2">
      <c r="A136" s="88">
        <v>44774</v>
      </c>
      <c r="B136" s="70" t="s">
        <v>312</v>
      </c>
      <c r="C136" s="70" t="s">
        <v>326</v>
      </c>
      <c r="D136" s="70">
        <v>750</v>
      </c>
      <c r="E136" s="70"/>
      <c r="F136" s="97">
        <v>48</v>
      </c>
      <c r="G136" s="97">
        <v>8</v>
      </c>
      <c r="H136" s="70">
        <v>375930664</v>
      </c>
    </row>
    <row r="137" spans="1:8" x14ac:dyDescent="0.2">
      <c r="A137" s="88">
        <v>44804</v>
      </c>
      <c r="B137" s="70" t="s">
        <v>129</v>
      </c>
      <c r="C137" s="70" t="s">
        <v>327</v>
      </c>
      <c r="D137" s="70">
        <v>14752</v>
      </c>
      <c r="E137" s="70"/>
      <c r="F137" s="97">
        <v>435.08</v>
      </c>
      <c r="G137" s="97">
        <v>72.52</v>
      </c>
      <c r="H137" s="70">
        <v>321943962</v>
      </c>
    </row>
    <row r="138" spans="1:8" x14ac:dyDescent="0.2">
      <c r="A138" s="88">
        <v>44813</v>
      </c>
      <c r="B138" s="70" t="s">
        <v>328</v>
      </c>
      <c r="C138" s="70" t="s">
        <v>340</v>
      </c>
      <c r="D138" s="70">
        <v>324605762</v>
      </c>
      <c r="E138" s="70"/>
      <c r="F138" s="97">
        <v>13.99</v>
      </c>
      <c r="G138" s="97">
        <v>2.33</v>
      </c>
      <c r="H138" s="70" t="s">
        <v>333</v>
      </c>
    </row>
    <row r="139" spans="1:8" x14ac:dyDescent="0.2">
      <c r="A139" s="88">
        <v>44813</v>
      </c>
      <c r="B139" s="70" t="s">
        <v>328</v>
      </c>
      <c r="C139" s="70" t="s">
        <v>339</v>
      </c>
      <c r="D139" s="70" t="s">
        <v>341</v>
      </c>
      <c r="E139" s="70"/>
      <c r="F139" s="97">
        <v>14.49</v>
      </c>
      <c r="G139" s="97">
        <v>2.42</v>
      </c>
      <c r="H139" s="70" t="s">
        <v>368</v>
      </c>
    </row>
    <row r="140" spans="1:8" x14ac:dyDescent="0.2">
      <c r="A140" s="88">
        <v>44820</v>
      </c>
      <c r="B140" s="70" t="s">
        <v>33</v>
      </c>
      <c r="C140" s="70" t="s">
        <v>337</v>
      </c>
      <c r="D140" s="70" t="s">
        <v>338</v>
      </c>
      <c r="E140" s="70"/>
      <c r="F140" s="97">
        <v>141.80000000000001</v>
      </c>
      <c r="G140" s="97">
        <v>0.8</v>
      </c>
      <c r="H140" s="70">
        <v>891752783</v>
      </c>
    </row>
    <row r="141" spans="1:8" x14ac:dyDescent="0.2">
      <c r="A141" s="88">
        <v>44820</v>
      </c>
      <c r="B141" s="70" t="s">
        <v>255</v>
      </c>
      <c r="C141" s="70" t="s">
        <v>344</v>
      </c>
      <c r="D141" s="70" t="s">
        <v>345</v>
      </c>
      <c r="E141" s="70"/>
      <c r="F141" s="97">
        <v>169.99</v>
      </c>
      <c r="G141" s="97">
        <v>28.33</v>
      </c>
      <c r="H141" s="70">
        <v>732249444</v>
      </c>
    </row>
    <row r="142" spans="1:8" x14ac:dyDescent="0.2">
      <c r="A142" s="88">
        <v>44824</v>
      </c>
      <c r="B142" s="70" t="s">
        <v>136</v>
      </c>
      <c r="C142" s="70" t="s">
        <v>373</v>
      </c>
      <c r="D142" s="70">
        <v>7720</v>
      </c>
      <c r="E142" s="70"/>
      <c r="F142" s="97">
        <v>360</v>
      </c>
      <c r="G142" s="97">
        <v>60</v>
      </c>
      <c r="H142" s="70">
        <v>582552525</v>
      </c>
    </row>
    <row r="143" spans="1:8" x14ac:dyDescent="0.2">
      <c r="A143" s="88">
        <v>44826</v>
      </c>
      <c r="B143" s="70" t="s">
        <v>95</v>
      </c>
      <c r="C143" s="70" t="s">
        <v>346</v>
      </c>
      <c r="D143" s="70">
        <v>365</v>
      </c>
      <c r="E143" s="70"/>
      <c r="F143" s="97">
        <v>111.3</v>
      </c>
      <c r="G143" s="97">
        <v>13.35</v>
      </c>
      <c r="H143" s="70">
        <v>660454836</v>
      </c>
    </row>
    <row r="144" spans="1:8" x14ac:dyDescent="0.2">
      <c r="A144" s="88">
        <v>44831</v>
      </c>
      <c r="B144" s="70" t="s">
        <v>171</v>
      </c>
      <c r="C144" s="70" t="s">
        <v>342</v>
      </c>
      <c r="D144" s="70">
        <v>313649</v>
      </c>
      <c r="E144" s="70"/>
      <c r="F144" s="97">
        <v>240</v>
      </c>
      <c r="G144" s="97">
        <v>40</v>
      </c>
      <c r="H144" s="70">
        <v>120431530</v>
      </c>
    </row>
    <row r="145" spans="1:8" x14ac:dyDescent="0.2">
      <c r="A145" s="88">
        <v>44834</v>
      </c>
      <c r="B145" s="70" t="s">
        <v>129</v>
      </c>
      <c r="C145" s="70" t="s">
        <v>343</v>
      </c>
      <c r="D145" s="70">
        <v>14816</v>
      </c>
      <c r="E145" s="70"/>
      <c r="F145" s="97">
        <v>435.08</v>
      </c>
      <c r="G145" s="97">
        <v>72.52</v>
      </c>
      <c r="H145" s="70">
        <v>321943962</v>
      </c>
    </row>
    <row r="146" spans="1:8" x14ac:dyDescent="0.2">
      <c r="A146" s="88">
        <v>44860</v>
      </c>
      <c r="B146" s="70" t="s">
        <v>97</v>
      </c>
      <c r="C146" s="70" t="s">
        <v>347</v>
      </c>
      <c r="D146" s="70">
        <v>31567</v>
      </c>
      <c r="E146" s="70"/>
      <c r="F146" s="97">
        <v>60</v>
      </c>
      <c r="G146" s="97">
        <v>10</v>
      </c>
      <c r="H146" s="70">
        <v>744541532</v>
      </c>
    </row>
    <row r="147" spans="1:8" x14ac:dyDescent="0.2">
      <c r="A147" s="88">
        <v>44875</v>
      </c>
      <c r="B147" s="70" t="s">
        <v>95</v>
      </c>
      <c r="C147" s="70" t="s">
        <v>159</v>
      </c>
      <c r="D147" s="70" t="s">
        <v>249</v>
      </c>
      <c r="E147" s="70"/>
      <c r="F147" s="97">
        <v>95.88</v>
      </c>
      <c r="G147" s="97">
        <v>15.98</v>
      </c>
      <c r="H147" s="70" t="s">
        <v>187</v>
      </c>
    </row>
    <row r="148" spans="1:8" x14ac:dyDescent="0.2">
      <c r="A148" s="88">
        <v>44887</v>
      </c>
      <c r="B148" s="70" t="s">
        <v>349</v>
      </c>
      <c r="C148" s="70" t="s">
        <v>348</v>
      </c>
      <c r="D148" s="70">
        <v>15428</v>
      </c>
      <c r="E148" s="70"/>
      <c r="F148" s="97">
        <v>314.39999999999998</v>
      </c>
      <c r="G148" s="97">
        <v>52.4</v>
      </c>
      <c r="H148" s="70">
        <v>992229981</v>
      </c>
    </row>
    <row r="149" spans="1:8" x14ac:dyDescent="0.2">
      <c r="A149" s="88">
        <v>44890</v>
      </c>
      <c r="B149" s="70" t="s">
        <v>95</v>
      </c>
      <c r="C149" s="70" t="s">
        <v>352</v>
      </c>
      <c r="D149" s="70" t="s">
        <v>353</v>
      </c>
      <c r="E149" s="70"/>
      <c r="F149" s="97">
        <v>8.99</v>
      </c>
      <c r="G149" s="97">
        <v>1.5</v>
      </c>
      <c r="H149" s="70" t="s">
        <v>110</v>
      </c>
    </row>
    <row r="150" spans="1:8" x14ac:dyDescent="0.2">
      <c r="A150" s="88">
        <v>44895</v>
      </c>
      <c r="B150" s="70" t="s">
        <v>350</v>
      </c>
      <c r="C150" s="70" t="s">
        <v>264</v>
      </c>
      <c r="D150" s="70">
        <v>31564</v>
      </c>
      <c r="E150" s="70"/>
      <c r="F150" s="97">
        <v>576</v>
      </c>
      <c r="G150" s="97">
        <v>96</v>
      </c>
      <c r="H150" s="70">
        <v>744541532</v>
      </c>
    </row>
    <row r="151" spans="1:8" x14ac:dyDescent="0.2">
      <c r="A151" s="88">
        <v>44895</v>
      </c>
      <c r="B151" s="70" t="s">
        <v>312</v>
      </c>
      <c r="C151" s="70" t="s">
        <v>351</v>
      </c>
      <c r="D151" s="70">
        <v>792</v>
      </c>
      <c r="E151" s="70"/>
      <c r="F151" s="97">
        <v>1560</v>
      </c>
      <c r="G151" s="97">
        <v>260</v>
      </c>
      <c r="H151" s="70">
        <v>375930664</v>
      </c>
    </row>
    <row r="152" spans="1:8" x14ac:dyDescent="0.2">
      <c r="A152" s="88">
        <v>44895</v>
      </c>
      <c r="B152" s="70" t="s">
        <v>129</v>
      </c>
      <c r="C152" s="70" t="s">
        <v>361</v>
      </c>
      <c r="D152" s="70">
        <v>14947</v>
      </c>
      <c r="E152" s="70"/>
      <c r="F152" s="97">
        <v>435.08</v>
      </c>
      <c r="G152" s="97">
        <v>72.52</v>
      </c>
      <c r="H152" s="70">
        <v>321943962</v>
      </c>
    </row>
    <row r="153" spans="1:8" x14ac:dyDescent="0.2">
      <c r="A153" s="88">
        <v>44902</v>
      </c>
      <c r="B153" s="70" t="s">
        <v>261</v>
      </c>
      <c r="C153" s="70" t="s">
        <v>262</v>
      </c>
      <c r="D153" s="70" t="s">
        <v>354</v>
      </c>
      <c r="E153" s="70"/>
      <c r="F153" s="97">
        <v>150</v>
      </c>
      <c r="G153" s="97">
        <v>25</v>
      </c>
      <c r="H153" s="70">
        <v>376832713</v>
      </c>
    </row>
    <row r="154" spans="1:8" x14ac:dyDescent="0.2">
      <c r="A154" s="88">
        <v>44906</v>
      </c>
      <c r="B154" s="70" t="s">
        <v>231</v>
      </c>
      <c r="C154" s="70" t="s">
        <v>355</v>
      </c>
      <c r="D154" s="70">
        <v>2840910</v>
      </c>
      <c r="E154" s="70"/>
      <c r="F154" s="97">
        <v>42.99</v>
      </c>
      <c r="G154" s="97">
        <v>7.16</v>
      </c>
      <c r="H154" s="70" t="s">
        <v>284</v>
      </c>
    </row>
    <row r="155" spans="1:8" x14ac:dyDescent="0.2">
      <c r="A155" s="88">
        <v>44930</v>
      </c>
      <c r="B155" s="70" t="s">
        <v>113</v>
      </c>
      <c r="C155" s="70" t="s">
        <v>359</v>
      </c>
      <c r="D155" s="70">
        <v>50977</v>
      </c>
      <c r="E155" s="70"/>
      <c r="F155" s="97">
        <v>102</v>
      </c>
      <c r="G155" s="97">
        <v>17</v>
      </c>
      <c r="H155" s="70">
        <v>899727928</v>
      </c>
    </row>
    <row r="156" spans="1:8" x14ac:dyDescent="0.2">
      <c r="A156" s="88">
        <v>44963</v>
      </c>
      <c r="B156" s="70" t="s">
        <v>136</v>
      </c>
      <c r="C156" s="70" t="s">
        <v>360</v>
      </c>
      <c r="D156" s="70">
        <v>7868</v>
      </c>
      <c r="E156" s="70"/>
      <c r="F156" s="97">
        <v>1260</v>
      </c>
      <c r="G156" s="97">
        <v>210</v>
      </c>
      <c r="H156" s="70">
        <v>582552525</v>
      </c>
    </row>
    <row r="157" spans="1:8" x14ac:dyDescent="0.2">
      <c r="A157" s="88">
        <v>44966</v>
      </c>
      <c r="B157" s="70" t="s">
        <v>356</v>
      </c>
      <c r="C157" s="70" t="s">
        <v>357</v>
      </c>
      <c r="D157" s="70" t="s">
        <v>358</v>
      </c>
      <c r="E157" s="70"/>
      <c r="F157" s="97">
        <v>286.2</v>
      </c>
      <c r="G157" s="97">
        <v>47.7</v>
      </c>
      <c r="H157" s="70">
        <v>831579317</v>
      </c>
    </row>
    <row r="158" spans="1:8" x14ac:dyDescent="0.2">
      <c r="A158" s="88">
        <v>44981</v>
      </c>
      <c r="B158" s="70" t="s">
        <v>113</v>
      </c>
      <c r="C158" s="70" t="s">
        <v>362</v>
      </c>
      <c r="D158" s="70">
        <v>51008</v>
      </c>
      <c r="E158" s="70"/>
      <c r="F158" s="97">
        <v>60</v>
      </c>
      <c r="G158" s="97">
        <v>10</v>
      </c>
      <c r="H158" s="70">
        <v>899727928</v>
      </c>
    </row>
    <row r="159" spans="1:8" x14ac:dyDescent="0.2">
      <c r="A159" s="88">
        <v>44985</v>
      </c>
      <c r="B159" s="70" t="s">
        <v>95</v>
      </c>
      <c r="C159" s="70" t="s">
        <v>363</v>
      </c>
      <c r="D159" s="70" t="s">
        <v>364</v>
      </c>
      <c r="E159" s="70"/>
      <c r="F159" s="97">
        <v>55.04</v>
      </c>
      <c r="G159" s="97">
        <v>9.17</v>
      </c>
      <c r="H159" s="70">
        <v>385529654</v>
      </c>
    </row>
    <row r="160" spans="1:8" x14ac:dyDescent="0.2">
      <c r="A160" s="88">
        <v>44985</v>
      </c>
      <c r="B160" s="70" t="s">
        <v>129</v>
      </c>
      <c r="C160" s="70" t="s">
        <v>365</v>
      </c>
      <c r="D160" s="70">
        <v>15086</v>
      </c>
      <c r="E160" s="70"/>
      <c r="F160" s="97">
        <v>435.08</v>
      </c>
      <c r="G160" s="97">
        <v>75.52</v>
      </c>
      <c r="H160" s="70">
        <v>321943962</v>
      </c>
    </row>
    <row r="161" spans="1:8" x14ac:dyDescent="0.2">
      <c r="A161" s="88">
        <v>45000</v>
      </c>
      <c r="B161" s="70" t="s">
        <v>95</v>
      </c>
      <c r="C161" s="70" t="s">
        <v>366</v>
      </c>
      <c r="D161" s="70">
        <v>6122889059</v>
      </c>
      <c r="E161" s="70"/>
      <c r="F161" s="97">
        <v>78.44</v>
      </c>
      <c r="G161" s="97">
        <v>13.08</v>
      </c>
      <c r="H161" s="70" t="s">
        <v>369</v>
      </c>
    </row>
    <row r="162" spans="1:8" x14ac:dyDescent="0.2">
      <c r="A162" s="88">
        <v>44989</v>
      </c>
      <c r="B162" s="70" t="s">
        <v>231</v>
      </c>
      <c r="C162" s="70" t="s">
        <v>370</v>
      </c>
      <c r="D162" s="55" t="s">
        <v>249</v>
      </c>
      <c r="E162" s="70"/>
      <c r="F162" s="97">
        <v>19.5</v>
      </c>
      <c r="G162" s="97">
        <v>3.25</v>
      </c>
      <c r="H162" s="70">
        <v>233112755</v>
      </c>
    </row>
    <row r="163" spans="1:8" x14ac:dyDescent="0.2">
      <c r="A163" s="88">
        <v>45003</v>
      </c>
      <c r="B163" s="70" t="s">
        <v>231</v>
      </c>
      <c r="C163" s="70" t="s">
        <v>371</v>
      </c>
      <c r="D163" s="55">
        <v>3000061699</v>
      </c>
      <c r="E163" s="70"/>
      <c r="F163" s="97">
        <v>72.09</v>
      </c>
      <c r="G163" s="97">
        <v>12.02</v>
      </c>
      <c r="H163" s="70">
        <v>584635017</v>
      </c>
    </row>
    <row r="164" spans="1:8" x14ac:dyDescent="0.2">
      <c r="A164" s="88">
        <v>44996</v>
      </c>
      <c r="B164" s="70" t="s">
        <v>231</v>
      </c>
      <c r="C164" s="70" t="s">
        <v>372</v>
      </c>
      <c r="D164" s="55" t="s">
        <v>249</v>
      </c>
      <c r="E164" s="70"/>
      <c r="F164" s="97">
        <v>87</v>
      </c>
      <c r="G164" s="97">
        <v>14.5</v>
      </c>
      <c r="H164" s="70">
        <v>233112755</v>
      </c>
    </row>
    <row r="165" spans="1:8" x14ac:dyDescent="0.2">
      <c r="A165" s="88">
        <v>45016</v>
      </c>
      <c r="B165" s="70" t="s">
        <v>93</v>
      </c>
      <c r="C165" s="70" t="s">
        <v>374</v>
      </c>
      <c r="D165" s="70" t="s">
        <v>375</v>
      </c>
      <c r="E165" s="70"/>
      <c r="F165" s="97">
        <v>389.37</v>
      </c>
      <c r="G165" s="97">
        <v>64.89</v>
      </c>
      <c r="H165" s="70">
        <v>193548138</v>
      </c>
    </row>
    <row r="166" spans="1:8" x14ac:dyDescent="0.2">
      <c r="A166" s="88"/>
      <c r="B166" s="70"/>
      <c r="C166" s="70"/>
      <c r="D166" s="70"/>
      <c r="E166" s="70"/>
      <c r="F166" s="97"/>
      <c r="G166" s="97"/>
      <c r="H166" s="70"/>
    </row>
    <row r="167" spans="1:8" x14ac:dyDescent="0.2">
      <c r="A167" s="88"/>
      <c r="B167" s="70"/>
      <c r="C167" s="70"/>
      <c r="D167" s="70"/>
      <c r="E167" s="70"/>
      <c r="F167" s="97"/>
      <c r="G167" s="97"/>
      <c r="H167" s="70"/>
    </row>
    <row r="168" spans="1:8" x14ac:dyDescent="0.2">
      <c r="A168" s="88"/>
      <c r="B168" s="70"/>
      <c r="C168" s="70"/>
      <c r="D168" s="70"/>
      <c r="E168" s="70"/>
      <c r="F168" s="97"/>
      <c r="G168" s="97">
        <f>SUM(G136:G167)</f>
        <v>1317.96</v>
      </c>
      <c r="H168" s="70"/>
    </row>
    <row r="170" spans="1:8" x14ac:dyDescent="0.2">
      <c r="A170" s="88"/>
      <c r="B170" s="123" t="s">
        <v>455</v>
      </c>
      <c r="C170" s="70"/>
      <c r="D170" s="70"/>
      <c r="E170" s="70"/>
      <c r="F170" s="97"/>
      <c r="G170" s="97"/>
      <c r="H170" s="70"/>
    </row>
    <row r="171" spans="1:8" ht="48" x14ac:dyDescent="0.2">
      <c r="A171" s="65" t="s">
        <v>111</v>
      </c>
      <c r="B171" s="63" t="s">
        <v>101</v>
      </c>
      <c r="C171" s="63" t="s">
        <v>107</v>
      </c>
      <c r="D171" s="63" t="s">
        <v>82</v>
      </c>
      <c r="E171" s="65" t="s">
        <v>111</v>
      </c>
      <c r="F171" s="64" t="s">
        <v>112</v>
      </c>
      <c r="G171" s="64" t="s">
        <v>108</v>
      </c>
      <c r="H171" s="63" t="s">
        <v>109</v>
      </c>
    </row>
    <row r="172" spans="1:8" x14ac:dyDescent="0.2">
      <c r="A172" s="88">
        <v>45030</v>
      </c>
      <c r="B172" s="70" t="s">
        <v>95</v>
      </c>
      <c r="C172" s="70" t="s">
        <v>388</v>
      </c>
      <c r="D172" s="70" t="s">
        <v>389</v>
      </c>
      <c r="E172" s="70"/>
      <c r="F172" s="97">
        <v>704.95</v>
      </c>
      <c r="G172" s="97">
        <v>117.49</v>
      </c>
      <c r="H172" s="70">
        <v>834366812</v>
      </c>
    </row>
    <row r="173" spans="1:8" x14ac:dyDescent="0.2">
      <c r="A173" s="88">
        <v>45033</v>
      </c>
      <c r="B173" s="70" t="s">
        <v>387</v>
      </c>
      <c r="C173" s="70" t="s">
        <v>390</v>
      </c>
      <c r="D173" s="70">
        <v>213208</v>
      </c>
      <c r="E173" s="70"/>
      <c r="F173" s="97">
        <v>720</v>
      </c>
      <c r="G173" s="97">
        <v>120</v>
      </c>
      <c r="H173" s="70" t="s">
        <v>451</v>
      </c>
    </row>
    <row r="174" spans="1:8" x14ac:dyDescent="0.2">
      <c r="A174" s="88">
        <v>45034</v>
      </c>
      <c r="B174" s="70" t="s">
        <v>387</v>
      </c>
      <c r="C174" s="70" t="s">
        <v>391</v>
      </c>
      <c r="D174" s="70">
        <v>213213</v>
      </c>
      <c r="E174" s="70"/>
      <c r="F174" s="97">
        <v>94.92</v>
      </c>
      <c r="G174" s="97">
        <v>15.82</v>
      </c>
      <c r="H174" s="70" t="s">
        <v>451</v>
      </c>
    </row>
    <row r="175" spans="1:8" x14ac:dyDescent="0.2">
      <c r="A175" s="88">
        <v>45034</v>
      </c>
      <c r="B175" s="70" t="s">
        <v>286</v>
      </c>
      <c r="C175" s="70" t="s">
        <v>397</v>
      </c>
      <c r="D175" s="70">
        <v>151216</v>
      </c>
      <c r="E175" s="70"/>
      <c r="F175" s="97">
        <v>103.38</v>
      </c>
      <c r="G175" s="97">
        <v>17.23</v>
      </c>
      <c r="H175" s="70" t="s">
        <v>450</v>
      </c>
    </row>
    <row r="176" spans="1:8" x14ac:dyDescent="0.2">
      <c r="A176" s="88">
        <v>45035</v>
      </c>
      <c r="B176" s="70" t="s">
        <v>113</v>
      </c>
      <c r="C176" s="70" t="s">
        <v>392</v>
      </c>
      <c r="D176" s="70">
        <v>51033</v>
      </c>
      <c r="E176" s="70"/>
      <c r="F176" s="97">
        <v>96</v>
      </c>
      <c r="G176" s="97">
        <v>16</v>
      </c>
      <c r="H176" s="70">
        <v>899727928</v>
      </c>
    </row>
    <row r="177" spans="1:8" x14ac:dyDescent="0.2">
      <c r="A177" s="88">
        <v>45043</v>
      </c>
      <c r="B177" s="70" t="s">
        <v>113</v>
      </c>
      <c r="C177" s="70" t="s">
        <v>157</v>
      </c>
      <c r="D177" s="70">
        <v>21093</v>
      </c>
      <c r="E177" s="70"/>
      <c r="F177" s="97">
        <v>252</v>
      </c>
      <c r="G177" s="97">
        <v>42</v>
      </c>
      <c r="H177" s="70">
        <v>899727928</v>
      </c>
    </row>
    <row r="178" spans="1:8" x14ac:dyDescent="0.2">
      <c r="A178" s="88">
        <v>45046</v>
      </c>
      <c r="B178" s="70" t="s">
        <v>395</v>
      </c>
      <c r="C178" s="70" t="s">
        <v>396</v>
      </c>
      <c r="D178" s="70">
        <v>15194</v>
      </c>
      <c r="E178" s="70"/>
      <c r="F178" s="97">
        <v>907.2</v>
      </c>
      <c r="G178" s="97">
        <v>151.19999999999999</v>
      </c>
      <c r="H178" s="70">
        <v>321943962</v>
      </c>
    </row>
    <row r="179" spans="1:8" x14ac:dyDescent="0.2">
      <c r="A179" s="88">
        <v>45055</v>
      </c>
      <c r="B179" s="70" t="s">
        <v>393</v>
      </c>
      <c r="C179" s="70" t="s">
        <v>394</v>
      </c>
      <c r="D179" s="70">
        <v>26025982</v>
      </c>
      <c r="E179" s="70"/>
      <c r="F179" s="97">
        <v>45</v>
      </c>
      <c r="G179" s="97">
        <v>7.5</v>
      </c>
      <c r="H179" s="70" t="s">
        <v>331</v>
      </c>
    </row>
    <row r="180" spans="1:8" x14ac:dyDescent="0.2">
      <c r="A180" s="88">
        <v>45068</v>
      </c>
      <c r="B180" s="70" t="s">
        <v>95</v>
      </c>
      <c r="C180" s="70" t="s">
        <v>398</v>
      </c>
      <c r="D180" s="70">
        <v>1267564</v>
      </c>
      <c r="E180" s="70"/>
      <c r="F180" s="97">
        <v>143.88</v>
      </c>
      <c r="G180" s="97">
        <v>23.98</v>
      </c>
      <c r="H180" s="70">
        <v>887750270</v>
      </c>
    </row>
    <row r="181" spans="1:8" x14ac:dyDescent="0.2">
      <c r="A181" s="88">
        <v>45069</v>
      </c>
      <c r="B181" s="70" t="s">
        <v>113</v>
      </c>
      <c r="C181" s="70" t="s">
        <v>406</v>
      </c>
      <c r="D181" s="70">
        <v>51094</v>
      </c>
      <c r="E181" s="70"/>
      <c r="F181" s="97">
        <v>54</v>
      </c>
      <c r="G181" s="97">
        <v>9</v>
      </c>
      <c r="H181" s="70">
        <v>899727928</v>
      </c>
    </row>
    <row r="182" spans="1:8" x14ac:dyDescent="0.2">
      <c r="A182" s="88">
        <v>45077</v>
      </c>
      <c r="B182" s="70" t="s">
        <v>399</v>
      </c>
      <c r="C182" s="70" t="s">
        <v>400</v>
      </c>
      <c r="D182" s="70" t="s">
        <v>249</v>
      </c>
      <c r="E182" s="70"/>
      <c r="F182" s="97">
        <v>64.900000000000006</v>
      </c>
      <c r="G182" s="97">
        <v>11.65</v>
      </c>
      <c r="H182" s="70" t="s">
        <v>332</v>
      </c>
    </row>
    <row r="183" spans="1:8" x14ac:dyDescent="0.2">
      <c r="A183" s="88">
        <v>45077</v>
      </c>
      <c r="B183" s="70" t="s">
        <v>395</v>
      </c>
      <c r="C183" s="70" t="s">
        <v>401</v>
      </c>
      <c r="D183" s="70">
        <v>15259</v>
      </c>
      <c r="E183" s="70"/>
      <c r="F183" s="97">
        <v>907.2</v>
      </c>
      <c r="G183" s="97">
        <v>151.19999999999999</v>
      </c>
      <c r="H183" s="70">
        <v>321943962</v>
      </c>
    </row>
    <row r="184" spans="1:8" x14ac:dyDescent="0.2">
      <c r="A184" s="88">
        <v>45096</v>
      </c>
      <c r="B184" s="70" t="s">
        <v>95</v>
      </c>
      <c r="C184" s="70" t="s">
        <v>403</v>
      </c>
      <c r="D184" s="70" t="s">
        <v>404</v>
      </c>
      <c r="E184" s="70"/>
      <c r="F184" s="97">
        <v>75.989999999999995</v>
      </c>
      <c r="G184" s="97">
        <v>12.67</v>
      </c>
      <c r="H184" s="70" t="s">
        <v>449</v>
      </c>
    </row>
    <row r="185" spans="1:8" x14ac:dyDescent="0.2">
      <c r="A185" s="88">
        <v>45098</v>
      </c>
      <c r="B185" s="70" t="s">
        <v>95</v>
      </c>
      <c r="C185" s="70" t="s">
        <v>402</v>
      </c>
      <c r="D185" s="70">
        <v>6896</v>
      </c>
      <c r="E185" s="70"/>
      <c r="F185" s="97">
        <v>720</v>
      </c>
      <c r="G185" s="97">
        <v>120</v>
      </c>
      <c r="H185" s="70">
        <v>747363902</v>
      </c>
    </row>
    <row r="186" spans="1:8" x14ac:dyDescent="0.2">
      <c r="A186" s="88">
        <v>45107</v>
      </c>
      <c r="B186" s="70" t="s">
        <v>395</v>
      </c>
      <c r="C186" s="70" t="s">
        <v>405</v>
      </c>
      <c r="D186" s="70">
        <v>15310</v>
      </c>
      <c r="E186" s="70"/>
      <c r="F186" s="97">
        <v>453.6</v>
      </c>
      <c r="G186" s="97">
        <v>75.599999999999994</v>
      </c>
      <c r="H186" s="70">
        <v>321943962</v>
      </c>
    </row>
    <row r="187" spans="1:8" x14ac:dyDescent="0.2">
      <c r="A187" s="88">
        <v>45138</v>
      </c>
      <c r="B187" s="70" t="s">
        <v>395</v>
      </c>
      <c r="C187" s="70" t="s">
        <v>407</v>
      </c>
      <c r="D187" s="70">
        <v>15376</v>
      </c>
      <c r="E187" s="70"/>
      <c r="F187" s="97">
        <v>453.6</v>
      </c>
      <c r="G187" s="97">
        <v>75.599999999999994</v>
      </c>
      <c r="H187" s="70">
        <v>321943962</v>
      </c>
    </row>
    <row r="188" spans="1:8" x14ac:dyDescent="0.2">
      <c r="A188" s="88">
        <v>45168</v>
      </c>
      <c r="B188" s="70" t="s">
        <v>171</v>
      </c>
      <c r="C188" s="70" t="s">
        <v>410</v>
      </c>
      <c r="D188" s="70">
        <v>319548</v>
      </c>
      <c r="E188" s="70"/>
      <c r="F188" s="97">
        <v>378</v>
      </c>
      <c r="G188" s="97">
        <v>63</v>
      </c>
      <c r="H188" s="70">
        <v>120431530</v>
      </c>
    </row>
    <row r="189" spans="1:8" x14ac:dyDescent="0.2">
      <c r="A189" s="88">
        <v>45169</v>
      </c>
      <c r="B189" s="70" t="s">
        <v>395</v>
      </c>
      <c r="C189" s="70" t="s">
        <v>412</v>
      </c>
      <c r="D189" s="70">
        <v>15443</v>
      </c>
      <c r="E189" s="70"/>
      <c r="F189" s="97">
        <v>453.6</v>
      </c>
      <c r="G189" s="97">
        <v>75.599999999999994</v>
      </c>
      <c r="H189" s="70">
        <v>321943962</v>
      </c>
    </row>
    <row r="190" spans="1:8" x14ac:dyDescent="0.2">
      <c r="A190" s="88">
        <v>45180</v>
      </c>
      <c r="B190" s="70" t="s">
        <v>95</v>
      </c>
      <c r="C190" s="70" t="s">
        <v>398</v>
      </c>
      <c r="D190" s="70" t="s">
        <v>411</v>
      </c>
      <c r="E190" s="70"/>
      <c r="F190" s="97">
        <v>71.94</v>
      </c>
      <c r="G190" s="97">
        <v>11.99</v>
      </c>
      <c r="H190" s="70">
        <v>887750270</v>
      </c>
    </row>
    <row r="191" spans="1:8" x14ac:dyDescent="0.2">
      <c r="A191" s="88">
        <v>45181</v>
      </c>
      <c r="B191" s="70" t="s">
        <v>413</v>
      </c>
      <c r="C191" s="70" t="s">
        <v>431</v>
      </c>
      <c r="D191" s="70" t="s">
        <v>322</v>
      </c>
      <c r="E191" s="70"/>
      <c r="F191" s="97">
        <v>80.83</v>
      </c>
      <c r="G191" s="97">
        <v>2</v>
      </c>
      <c r="H191" s="70" t="s">
        <v>447</v>
      </c>
    </row>
    <row r="192" spans="1:8" x14ac:dyDescent="0.2">
      <c r="A192" s="88">
        <v>45183</v>
      </c>
      <c r="B192" s="70" t="s">
        <v>413</v>
      </c>
      <c r="C192" s="70" t="s">
        <v>430</v>
      </c>
      <c r="D192" s="70" t="s">
        <v>322</v>
      </c>
      <c r="E192" s="70"/>
      <c r="F192" s="97">
        <v>8.99</v>
      </c>
      <c r="G192" s="97">
        <v>1.5</v>
      </c>
      <c r="H192" s="70" t="s">
        <v>333</v>
      </c>
    </row>
    <row r="193" spans="1:8" x14ac:dyDescent="0.2">
      <c r="A193" s="88">
        <v>45183</v>
      </c>
      <c r="B193" s="70" t="s">
        <v>413</v>
      </c>
      <c r="C193" s="70" t="s">
        <v>430</v>
      </c>
      <c r="D193" s="70" t="s">
        <v>322</v>
      </c>
      <c r="E193" s="70"/>
      <c r="F193" s="97">
        <v>9.99</v>
      </c>
      <c r="G193" s="97">
        <v>1.67</v>
      </c>
      <c r="H193" s="70" t="s">
        <v>333</v>
      </c>
    </row>
    <row r="194" spans="1:8" x14ac:dyDescent="0.2">
      <c r="A194" s="88">
        <v>45183</v>
      </c>
      <c r="B194" s="70" t="s">
        <v>413</v>
      </c>
      <c r="C194" s="70" t="s">
        <v>430</v>
      </c>
      <c r="D194" s="70" t="s">
        <v>322</v>
      </c>
      <c r="E194" s="70"/>
      <c r="F194" s="97">
        <v>5.44</v>
      </c>
      <c r="G194" s="97">
        <v>0.91</v>
      </c>
      <c r="H194" s="70" t="s">
        <v>448</v>
      </c>
    </row>
    <row r="195" spans="1:8" x14ac:dyDescent="0.2">
      <c r="A195" s="88">
        <v>45187</v>
      </c>
      <c r="B195" s="70" t="s">
        <v>136</v>
      </c>
      <c r="C195" s="70" t="s">
        <v>408</v>
      </c>
      <c r="D195" s="70">
        <v>8181</v>
      </c>
      <c r="E195" s="70"/>
      <c r="F195" s="97">
        <v>384</v>
      </c>
      <c r="G195" s="97">
        <v>64</v>
      </c>
      <c r="H195" s="70">
        <v>582552525</v>
      </c>
    </row>
    <row r="196" spans="1:8" x14ac:dyDescent="0.2">
      <c r="A196" s="88">
        <v>45199</v>
      </c>
      <c r="B196" s="70" t="s">
        <v>395</v>
      </c>
      <c r="C196" s="70" t="s">
        <v>428</v>
      </c>
      <c r="D196" s="70">
        <v>15507</v>
      </c>
      <c r="E196" s="70"/>
      <c r="F196" s="97">
        <v>597.6</v>
      </c>
      <c r="G196" s="97">
        <v>99.6</v>
      </c>
      <c r="H196" s="70">
        <v>321943962</v>
      </c>
    </row>
    <row r="197" spans="1:8" x14ac:dyDescent="0.2">
      <c r="A197" s="88">
        <v>45222</v>
      </c>
      <c r="B197" s="70" t="s">
        <v>380</v>
      </c>
      <c r="C197" s="70" t="s">
        <v>415</v>
      </c>
      <c r="D197" s="70" t="s">
        <v>322</v>
      </c>
      <c r="E197" s="70"/>
      <c r="F197" s="97">
        <v>103.57</v>
      </c>
      <c r="G197" s="97">
        <v>17.260000000000002</v>
      </c>
      <c r="H197" s="70" t="s">
        <v>332</v>
      </c>
    </row>
    <row r="198" spans="1:8" x14ac:dyDescent="0.2">
      <c r="A198" s="88">
        <v>45226</v>
      </c>
      <c r="B198" s="70" t="s">
        <v>312</v>
      </c>
      <c r="C198" s="70" t="s">
        <v>416</v>
      </c>
      <c r="D198" s="70">
        <v>897</v>
      </c>
      <c r="E198" s="70"/>
      <c r="F198" s="97">
        <v>1020</v>
      </c>
      <c r="G198" s="97">
        <v>170</v>
      </c>
      <c r="H198" s="70">
        <v>375930664</v>
      </c>
    </row>
    <row r="199" spans="1:8" x14ac:dyDescent="0.2">
      <c r="A199" s="88">
        <v>45226</v>
      </c>
      <c r="B199" s="70" t="s">
        <v>417</v>
      </c>
      <c r="C199" s="70" t="s">
        <v>418</v>
      </c>
      <c r="D199" s="70">
        <v>32286</v>
      </c>
      <c r="E199" s="70"/>
      <c r="F199" s="97">
        <v>210</v>
      </c>
      <c r="G199" s="97">
        <v>35</v>
      </c>
      <c r="H199" s="70" t="s">
        <v>199</v>
      </c>
    </row>
    <row r="200" spans="1:8" x14ac:dyDescent="0.2">
      <c r="A200" s="88">
        <v>45230</v>
      </c>
      <c r="B200" s="70" t="s">
        <v>395</v>
      </c>
      <c r="C200" s="70" t="s">
        <v>429</v>
      </c>
      <c r="D200" s="70">
        <v>15597</v>
      </c>
      <c r="E200" s="70"/>
      <c r="F200" s="97">
        <v>453.6</v>
      </c>
      <c r="G200" s="97">
        <v>75.599999999999994</v>
      </c>
      <c r="H200" s="70">
        <v>321943962</v>
      </c>
    </row>
    <row r="201" spans="1:8" x14ac:dyDescent="0.2">
      <c r="A201" s="88">
        <v>45231</v>
      </c>
      <c r="B201" s="70" t="s">
        <v>136</v>
      </c>
      <c r="C201" s="70" t="s">
        <v>414</v>
      </c>
      <c r="D201" s="70">
        <v>8229</v>
      </c>
      <c r="E201" s="70"/>
      <c r="F201" s="97">
        <v>13668</v>
      </c>
      <c r="G201" s="97">
        <v>2278</v>
      </c>
      <c r="H201" s="70">
        <v>582552525</v>
      </c>
    </row>
    <row r="202" spans="1:8" x14ac:dyDescent="0.2">
      <c r="A202" s="88">
        <v>45236</v>
      </c>
      <c r="B202" s="70" t="s">
        <v>95</v>
      </c>
      <c r="C202" s="70" t="s">
        <v>422</v>
      </c>
      <c r="D202" s="70" t="s">
        <v>322</v>
      </c>
      <c r="E202" s="70"/>
      <c r="F202" s="97">
        <v>33.97</v>
      </c>
      <c r="G202" s="97">
        <v>2.82</v>
      </c>
      <c r="H202" s="70" t="s">
        <v>446</v>
      </c>
    </row>
    <row r="203" spans="1:8" x14ac:dyDescent="0.2">
      <c r="A203" s="88">
        <v>45236</v>
      </c>
      <c r="B203" s="70" t="s">
        <v>426</v>
      </c>
      <c r="C203" s="70" t="s">
        <v>422</v>
      </c>
      <c r="D203" s="71" t="s">
        <v>322</v>
      </c>
      <c r="E203" s="70"/>
      <c r="F203" s="97">
        <v>7.85</v>
      </c>
      <c r="G203" s="97">
        <v>1.31</v>
      </c>
      <c r="H203" s="70" t="s">
        <v>444</v>
      </c>
    </row>
    <row r="204" spans="1:8" x14ac:dyDescent="0.2">
      <c r="A204" s="88">
        <v>45237</v>
      </c>
      <c r="B204" s="70" t="s">
        <v>261</v>
      </c>
      <c r="C204" s="70" t="s">
        <v>421</v>
      </c>
      <c r="D204" s="70">
        <v>7112023</v>
      </c>
      <c r="E204" s="70"/>
      <c r="F204" s="97">
        <v>150</v>
      </c>
      <c r="G204" s="97">
        <v>25</v>
      </c>
      <c r="H204" s="70">
        <v>376832713</v>
      </c>
    </row>
    <row r="205" spans="1:8" x14ac:dyDescent="0.2">
      <c r="A205" s="88">
        <v>45252</v>
      </c>
      <c r="B205" s="70" t="s">
        <v>231</v>
      </c>
      <c r="C205" s="70" t="s">
        <v>427</v>
      </c>
      <c r="D205" s="70" t="s">
        <v>249</v>
      </c>
      <c r="E205" s="70"/>
      <c r="F205" s="97">
        <v>18.64</v>
      </c>
      <c r="G205" s="97">
        <v>3.11</v>
      </c>
      <c r="H205" s="70" t="s">
        <v>445</v>
      </c>
    </row>
    <row r="206" spans="1:8" x14ac:dyDescent="0.2">
      <c r="A206" s="88">
        <v>45260</v>
      </c>
      <c r="B206" s="70" t="s">
        <v>424</v>
      </c>
      <c r="C206" s="70" t="s">
        <v>425</v>
      </c>
      <c r="D206" s="70">
        <v>32375</v>
      </c>
      <c r="E206" s="70"/>
      <c r="F206" s="97">
        <v>576</v>
      </c>
      <c r="G206" s="97">
        <v>96</v>
      </c>
      <c r="H206" s="70" t="s">
        <v>199</v>
      </c>
    </row>
    <row r="207" spans="1:8" x14ac:dyDescent="0.2">
      <c r="A207" s="88">
        <v>45270</v>
      </c>
      <c r="B207" s="70" t="s">
        <v>413</v>
      </c>
      <c r="C207" s="70" t="s">
        <v>423</v>
      </c>
      <c r="D207" s="70" t="s">
        <v>322</v>
      </c>
      <c r="E207" s="70"/>
      <c r="F207" s="97">
        <v>92.65</v>
      </c>
      <c r="G207" s="97">
        <v>1.33</v>
      </c>
      <c r="H207" s="70">
        <v>232457280</v>
      </c>
    </row>
    <row r="208" spans="1:8" x14ac:dyDescent="0.2">
      <c r="A208" s="88">
        <v>45294</v>
      </c>
      <c r="B208" s="70" t="s">
        <v>95</v>
      </c>
      <c r="C208" s="70" t="s">
        <v>442</v>
      </c>
      <c r="D208" s="70" t="s">
        <v>441</v>
      </c>
      <c r="E208" s="70"/>
      <c r="F208" s="97">
        <v>9.98</v>
      </c>
      <c r="G208" s="97">
        <v>1.66</v>
      </c>
      <c r="H208" s="70" t="s">
        <v>441</v>
      </c>
    </row>
    <row r="209" spans="1:8" x14ac:dyDescent="0.2">
      <c r="A209" s="88">
        <v>45313</v>
      </c>
      <c r="B209" s="70" t="s">
        <v>95</v>
      </c>
      <c r="C209" s="70" t="s">
        <v>443</v>
      </c>
      <c r="D209" s="70">
        <v>8750735729</v>
      </c>
      <c r="E209" s="70"/>
      <c r="F209" s="97">
        <v>78.44</v>
      </c>
      <c r="G209" s="97">
        <v>13.08</v>
      </c>
      <c r="H209" s="70" t="s">
        <v>369</v>
      </c>
    </row>
    <row r="210" spans="1:8" x14ac:dyDescent="0.2">
      <c r="A210" s="88">
        <v>45347</v>
      </c>
      <c r="B210" s="55" t="s">
        <v>312</v>
      </c>
      <c r="C210" s="70" t="s">
        <v>452</v>
      </c>
      <c r="D210" s="55">
        <v>950</v>
      </c>
      <c r="E210" s="70"/>
      <c r="F210" s="97">
        <v>660</v>
      </c>
      <c r="G210" s="97">
        <v>110</v>
      </c>
      <c r="H210" s="70">
        <v>375930664</v>
      </c>
    </row>
    <row r="211" spans="1:8" x14ac:dyDescent="0.2">
      <c r="A211" s="88">
        <v>45350</v>
      </c>
      <c r="B211" s="55" t="s">
        <v>95</v>
      </c>
      <c r="C211" s="70" t="s">
        <v>453</v>
      </c>
      <c r="D211" s="55" t="s">
        <v>454</v>
      </c>
      <c r="E211" s="70"/>
      <c r="F211" s="97">
        <v>55.04</v>
      </c>
      <c r="G211" s="97">
        <v>9.17</v>
      </c>
      <c r="H211" s="70">
        <v>385529654</v>
      </c>
    </row>
    <row r="212" spans="1:8" x14ac:dyDescent="0.2">
      <c r="A212" s="88"/>
      <c r="B212" s="70"/>
      <c r="C212" s="70"/>
      <c r="D212" s="70"/>
      <c r="E212" s="70"/>
      <c r="F212" s="156">
        <f>SUM(F172:F211)</f>
        <v>24924.75</v>
      </c>
      <c r="G212" s="156">
        <f>SUM(G172:G211)</f>
        <v>4126.5499999999993</v>
      </c>
      <c r="H212" s="70"/>
    </row>
    <row r="214" spans="1:8" x14ac:dyDescent="0.2">
      <c r="A214" s="88"/>
      <c r="B214" s="123" t="s">
        <v>544</v>
      </c>
      <c r="C214" s="70"/>
      <c r="D214" s="70"/>
      <c r="E214" s="70"/>
      <c r="F214" s="97"/>
      <c r="G214" s="97"/>
      <c r="H214" s="70"/>
    </row>
    <row r="215" spans="1:8" ht="48" x14ac:dyDescent="0.2">
      <c r="A215" s="65" t="s">
        <v>111</v>
      </c>
      <c r="B215" s="63" t="s">
        <v>101</v>
      </c>
      <c r="C215" s="63" t="s">
        <v>107</v>
      </c>
      <c r="D215" s="63" t="s">
        <v>82</v>
      </c>
      <c r="E215" s="65" t="s">
        <v>111</v>
      </c>
      <c r="F215" s="64" t="s">
        <v>112</v>
      </c>
      <c r="G215" s="64" t="s">
        <v>108</v>
      </c>
      <c r="H215" s="63" t="s">
        <v>109</v>
      </c>
    </row>
    <row r="216" spans="1:8" x14ac:dyDescent="0.2">
      <c r="A216" s="88">
        <v>45283</v>
      </c>
      <c r="B216" s="55" t="s">
        <v>95</v>
      </c>
      <c r="C216" s="70" t="s">
        <v>459</v>
      </c>
      <c r="D216" s="70" t="s">
        <v>460</v>
      </c>
      <c r="E216" s="70"/>
      <c r="F216" s="97">
        <v>6.99</v>
      </c>
      <c r="G216" s="97">
        <v>1.17</v>
      </c>
      <c r="H216" s="70" t="s">
        <v>110</v>
      </c>
    </row>
    <row r="217" spans="1:8" x14ac:dyDescent="0.2">
      <c r="A217" s="88">
        <v>45330</v>
      </c>
      <c r="B217" s="55" t="s">
        <v>95</v>
      </c>
      <c r="C217" s="70" t="s">
        <v>464</v>
      </c>
      <c r="D217" s="70" t="s">
        <v>465</v>
      </c>
      <c r="E217" s="70"/>
      <c r="F217" s="97">
        <v>6.76</v>
      </c>
      <c r="G217" s="97">
        <v>1.1200000000000001</v>
      </c>
      <c r="H217" s="70" t="s">
        <v>466</v>
      </c>
    </row>
    <row r="218" spans="1:8" x14ac:dyDescent="0.2">
      <c r="A218" s="88">
        <v>45351</v>
      </c>
      <c r="B218" s="55" t="s">
        <v>95</v>
      </c>
      <c r="C218" s="70" t="s">
        <v>461</v>
      </c>
      <c r="D218" s="70" t="s">
        <v>462</v>
      </c>
      <c r="E218" s="70"/>
      <c r="F218" s="97">
        <v>11.52</v>
      </c>
      <c r="G218" s="97">
        <v>2.04</v>
      </c>
      <c r="H218" s="70" t="s">
        <v>463</v>
      </c>
    </row>
    <row r="219" spans="1:8" x14ac:dyDescent="0.2">
      <c r="A219" s="88">
        <v>45382</v>
      </c>
      <c r="B219" s="55" t="s">
        <v>93</v>
      </c>
      <c r="C219" s="70" t="s">
        <v>456</v>
      </c>
      <c r="D219" s="70">
        <v>603122262</v>
      </c>
      <c r="E219" s="70"/>
      <c r="F219" s="97">
        <v>444.28</v>
      </c>
      <c r="G219" s="97">
        <v>74.040000000000006</v>
      </c>
      <c r="H219" s="70">
        <v>193548138</v>
      </c>
    </row>
    <row r="220" spans="1:8" x14ac:dyDescent="0.2">
      <c r="A220" s="88">
        <v>45386</v>
      </c>
      <c r="B220" s="70" t="s">
        <v>312</v>
      </c>
      <c r="C220" s="70" t="s">
        <v>468</v>
      </c>
      <c r="D220" s="70">
        <v>958</v>
      </c>
      <c r="E220" s="88">
        <v>45386</v>
      </c>
      <c r="F220" s="97">
        <v>96</v>
      </c>
      <c r="G220" s="97">
        <v>16</v>
      </c>
      <c r="H220" s="70">
        <v>375930664</v>
      </c>
    </row>
    <row r="221" spans="1:8" x14ac:dyDescent="0.2">
      <c r="A221" s="88">
        <v>45382</v>
      </c>
      <c r="B221" s="70" t="s">
        <v>395</v>
      </c>
      <c r="C221" s="70" t="s">
        <v>469</v>
      </c>
      <c r="D221" s="70">
        <v>15797</v>
      </c>
      <c r="E221" s="88">
        <v>45382</v>
      </c>
      <c r="F221" s="97">
        <v>453.6</v>
      </c>
      <c r="G221" s="97">
        <v>75.599999999999994</v>
      </c>
      <c r="H221" s="70">
        <v>321943962</v>
      </c>
    </row>
    <row r="222" spans="1:8" x14ac:dyDescent="0.2">
      <c r="A222" s="88">
        <v>45376</v>
      </c>
      <c r="B222" s="70" t="s">
        <v>413</v>
      </c>
      <c r="C222" s="70" t="s">
        <v>470</v>
      </c>
      <c r="D222" s="70" t="s">
        <v>249</v>
      </c>
      <c r="E222" s="88">
        <v>45376</v>
      </c>
      <c r="F222" s="97">
        <v>231.8</v>
      </c>
      <c r="G222" s="97">
        <v>1.3</v>
      </c>
      <c r="H222" s="70">
        <v>232457280</v>
      </c>
    </row>
    <row r="223" spans="1:8" x14ac:dyDescent="0.2">
      <c r="A223" s="88">
        <v>45412</v>
      </c>
      <c r="B223" s="70" t="s">
        <v>291</v>
      </c>
      <c r="C223" s="70" t="s">
        <v>473</v>
      </c>
      <c r="D223" s="70">
        <v>8405</v>
      </c>
      <c r="E223" s="59">
        <v>45412</v>
      </c>
      <c r="F223" s="97">
        <v>13219.2</v>
      </c>
      <c r="G223" s="97">
        <v>2203.1999999999998</v>
      </c>
      <c r="H223" s="70">
        <v>582552525</v>
      </c>
    </row>
    <row r="224" spans="1:8" x14ac:dyDescent="0.2">
      <c r="A224" s="88">
        <v>45425</v>
      </c>
      <c r="B224" s="70" t="s">
        <v>479</v>
      </c>
      <c r="C224" s="70" t="s">
        <v>480</v>
      </c>
      <c r="D224" s="70">
        <v>705094691</v>
      </c>
      <c r="E224" s="88">
        <v>45425</v>
      </c>
      <c r="F224" s="97">
        <v>84</v>
      </c>
      <c r="G224" s="97">
        <v>14</v>
      </c>
      <c r="H224" s="70">
        <v>122445838</v>
      </c>
    </row>
    <row r="225" spans="1:8" x14ac:dyDescent="0.2">
      <c r="A225" s="88">
        <v>45421</v>
      </c>
      <c r="B225" s="70" t="s">
        <v>481</v>
      </c>
      <c r="C225" s="70" t="s">
        <v>482</v>
      </c>
      <c r="D225" s="70" t="s">
        <v>483</v>
      </c>
      <c r="E225" s="88">
        <v>45421</v>
      </c>
      <c r="F225" s="97">
        <v>45</v>
      </c>
      <c r="G225" s="97">
        <v>7.5</v>
      </c>
      <c r="H225" s="70" t="s">
        <v>331</v>
      </c>
    </row>
    <row r="226" spans="1:8" x14ac:dyDescent="0.2">
      <c r="A226" s="88">
        <v>45404</v>
      </c>
      <c r="B226" s="70" t="s">
        <v>95</v>
      </c>
      <c r="C226" s="70" t="s">
        <v>513</v>
      </c>
      <c r="D226" s="70" t="s">
        <v>484</v>
      </c>
      <c r="E226" s="88">
        <v>45404</v>
      </c>
      <c r="F226" s="97">
        <v>75.989999999999995</v>
      </c>
      <c r="G226" s="97">
        <v>12.67</v>
      </c>
      <c r="H226" s="70" t="s">
        <v>449</v>
      </c>
    </row>
    <row r="227" spans="1:8" x14ac:dyDescent="0.2">
      <c r="A227" s="88">
        <v>45401</v>
      </c>
      <c r="B227" s="70" t="s">
        <v>95</v>
      </c>
      <c r="C227" s="70" t="s">
        <v>514</v>
      </c>
      <c r="D227" s="70" t="s">
        <v>515</v>
      </c>
      <c r="E227" s="88">
        <v>45401</v>
      </c>
      <c r="F227" s="97">
        <v>7.99</v>
      </c>
      <c r="G227" s="97">
        <v>1.33</v>
      </c>
      <c r="H227" s="70" t="s">
        <v>333</v>
      </c>
    </row>
    <row r="228" spans="1:8" x14ac:dyDescent="0.2">
      <c r="A228" s="88">
        <v>45401</v>
      </c>
      <c r="B228" s="70" t="s">
        <v>95</v>
      </c>
      <c r="C228" s="70" t="s">
        <v>516</v>
      </c>
      <c r="D228" s="70" t="s">
        <v>517</v>
      </c>
      <c r="E228" s="88">
        <v>45401</v>
      </c>
      <c r="F228" s="97">
        <v>4.49</v>
      </c>
      <c r="G228" s="97">
        <v>0.75</v>
      </c>
      <c r="H228" s="70" t="s">
        <v>518</v>
      </c>
    </row>
    <row r="229" spans="1:8" x14ac:dyDescent="0.2">
      <c r="A229" s="88">
        <v>45419</v>
      </c>
      <c r="B229" s="70" t="s">
        <v>485</v>
      </c>
      <c r="C229" s="70" t="s">
        <v>486</v>
      </c>
      <c r="D229" s="70" t="s">
        <v>487</v>
      </c>
      <c r="E229" s="88">
        <v>45419</v>
      </c>
      <c r="F229" s="97">
        <v>292.5</v>
      </c>
      <c r="G229" s="97">
        <v>48.75</v>
      </c>
      <c r="H229" s="70" t="s">
        <v>124</v>
      </c>
    </row>
    <row r="230" spans="1:8" x14ac:dyDescent="0.2">
      <c r="A230" s="88">
        <v>45341</v>
      </c>
      <c r="B230" s="70" t="s">
        <v>255</v>
      </c>
      <c r="C230" s="70" t="s">
        <v>488</v>
      </c>
      <c r="D230" s="70">
        <v>175219</v>
      </c>
      <c r="E230" s="88">
        <v>45341</v>
      </c>
      <c r="F230" s="97">
        <v>44.39</v>
      </c>
      <c r="G230" s="97">
        <v>5.99</v>
      </c>
      <c r="H230" s="70" t="s">
        <v>519</v>
      </c>
    </row>
    <row r="231" spans="1:8" x14ac:dyDescent="0.2">
      <c r="A231" s="88">
        <v>45412</v>
      </c>
      <c r="B231" s="70" t="s">
        <v>395</v>
      </c>
      <c r="C231" s="70" t="s">
        <v>489</v>
      </c>
      <c r="D231" s="70">
        <v>15861</v>
      </c>
      <c r="E231" s="88">
        <v>45412</v>
      </c>
      <c r="F231" s="97">
        <v>991.49</v>
      </c>
      <c r="G231" s="97">
        <v>165.25</v>
      </c>
      <c r="H231" s="70">
        <v>321943962</v>
      </c>
    </row>
    <row r="232" spans="1:8" x14ac:dyDescent="0.2">
      <c r="A232" s="88">
        <v>45443</v>
      </c>
      <c r="B232" s="70" t="s">
        <v>395</v>
      </c>
      <c r="C232" s="70" t="s">
        <v>490</v>
      </c>
      <c r="D232" s="70">
        <v>15921</v>
      </c>
      <c r="E232" s="88">
        <v>45443</v>
      </c>
      <c r="F232" s="97">
        <v>991.49</v>
      </c>
      <c r="G232" s="97">
        <v>165.25</v>
      </c>
      <c r="H232" s="70">
        <v>321943962</v>
      </c>
    </row>
    <row r="233" spans="1:8" x14ac:dyDescent="0.2">
      <c r="A233" s="88">
        <v>45473</v>
      </c>
      <c r="B233" s="70" t="s">
        <v>395</v>
      </c>
      <c r="C233" s="70" t="s">
        <v>491</v>
      </c>
      <c r="D233" s="70">
        <v>15984</v>
      </c>
      <c r="E233" s="88">
        <v>45473</v>
      </c>
      <c r="F233" s="97">
        <v>991.45</v>
      </c>
      <c r="G233" s="97">
        <v>165.25</v>
      </c>
      <c r="H233" s="70">
        <v>321943962</v>
      </c>
    </row>
    <row r="234" spans="1:8" x14ac:dyDescent="0.2">
      <c r="A234" s="88">
        <v>45504</v>
      </c>
      <c r="B234" s="70" t="s">
        <v>395</v>
      </c>
      <c r="C234" s="70" t="s">
        <v>492</v>
      </c>
      <c r="D234" s="70">
        <v>16046</v>
      </c>
      <c r="E234" s="88">
        <v>45504</v>
      </c>
      <c r="F234" s="97">
        <v>495.74</v>
      </c>
      <c r="G234" s="97">
        <v>82.62</v>
      </c>
      <c r="H234" s="70">
        <v>321943962</v>
      </c>
    </row>
    <row r="235" spans="1:8" x14ac:dyDescent="0.2">
      <c r="A235" s="88">
        <v>45520</v>
      </c>
      <c r="B235" s="70" t="s">
        <v>171</v>
      </c>
      <c r="C235" s="70" t="s">
        <v>493</v>
      </c>
      <c r="D235" s="70">
        <v>325349</v>
      </c>
      <c r="E235" s="88">
        <v>45520</v>
      </c>
      <c r="F235" s="97">
        <v>252</v>
      </c>
      <c r="G235" s="97">
        <v>42</v>
      </c>
      <c r="H235" s="70">
        <v>120431530</v>
      </c>
    </row>
    <row r="236" spans="1:8" x14ac:dyDescent="0.2">
      <c r="A236" s="88">
        <v>45535</v>
      </c>
      <c r="B236" s="70" t="s">
        <v>395</v>
      </c>
      <c r="C236" s="70" t="s">
        <v>494</v>
      </c>
      <c r="D236" s="70">
        <v>16108</v>
      </c>
      <c r="E236" s="88">
        <v>45535</v>
      </c>
      <c r="F236" s="97">
        <v>991.49</v>
      </c>
      <c r="G236" s="97">
        <v>165.25</v>
      </c>
      <c r="H236" s="70">
        <v>321943962</v>
      </c>
    </row>
    <row r="237" spans="1:8" x14ac:dyDescent="0.2">
      <c r="A237" s="88">
        <v>45555</v>
      </c>
      <c r="B237" s="70" t="s">
        <v>291</v>
      </c>
      <c r="C237" s="70" t="s">
        <v>495</v>
      </c>
      <c r="D237" s="70">
        <v>8648</v>
      </c>
      <c r="E237" s="88">
        <v>45555</v>
      </c>
      <c r="F237" s="97">
        <v>771.6</v>
      </c>
      <c r="G237" s="97">
        <v>128.6</v>
      </c>
      <c r="H237" s="70">
        <v>582552525</v>
      </c>
    </row>
    <row r="238" spans="1:8" x14ac:dyDescent="0.2">
      <c r="A238" s="88">
        <v>45559</v>
      </c>
      <c r="B238" s="70" t="s">
        <v>291</v>
      </c>
      <c r="C238" s="70" t="s">
        <v>373</v>
      </c>
      <c r="D238" s="70">
        <v>8649</v>
      </c>
      <c r="E238" s="88">
        <v>45559</v>
      </c>
      <c r="F238" s="97">
        <v>403.2</v>
      </c>
      <c r="G238" s="97">
        <v>67.2</v>
      </c>
      <c r="H238" s="70">
        <v>582552525</v>
      </c>
    </row>
    <row r="239" spans="1:8" x14ac:dyDescent="0.2">
      <c r="A239" s="88">
        <v>45569</v>
      </c>
      <c r="B239" s="70" t="s">
        <v>291</v>
      </c>
      <c r="C239" s="70" t="s">
        <v>496</v>
      </c>
      <c r="D239" s="70">
        <v>8662</v>
      </c>
      <c r="E239" s="88">
        <v>45569</v>
      </c>
      <c r="F239" s="97">
        <v>5895.6</v>
      </c>
      <c r="G239" s="97">
        <v>982.6</v>
      </c>
      <c r="H239" s="70">
        <v>582552525</v>
      </c>
    </row>
    <row r="240" spans="1:8" x14ac:dyDescent="0.2">
      <c r="A240" s="88">
        <v>45579</v>
      </c>
      <c r="B240" s="70" t="s">
        <v>426</v>
      </c>
      <c r="C240" s="70" t="s">
        <v>497</v>
      </c>
      <c r="D240" s="70" t="s">
        <v>249</v>
      </c>
      <c r="E240" s="88">
        <v>45579</v>
      </c>
      <c r="F240" s="97">
        <v>122.59</v>
      </c>
      <c r="G240" s="97">
        <v>15.43</v>
      </c>
      <c r="H240" s="70" t="s">
        <v>332</v>
      </c>
    </row>
    <row r="241" spans="1:8" x14ac:dyDescent="0.2">
      <c r="A241" s="88">
        <v>45565</v>
      </c>
      <c r="B241" s="70" t="s">
        <v>395</v>
      </c>
      <c r="C241" s="70" t="s">
        <v>498</v>
      </c>
      <c r="D241" s="70">
        <v>16171</v>
      </c>
      <c r="E241" s="88">
        <v>45565</v>
      </c>
      <c r="F241" s="97">
        <v>1013.52</v>
      </c>
      <c r="G241" s="97">
        <v>168.92</v>
      </c>
      <c r="H241" s="70">
        <v>321943962</v>
      </c>
    </row>
    <row r="242" spans="1:8" x14ac:dyDescent="0.2">
      <c r="A242" s="88">
        <v>45566</v>
      </c>
      <c r="B242" s="70" t="s">
        <v>296</v>
      </c>
      <c r="C242" s="70" t="s">
        <v>499</v>
      </c>
      <c r="D242" s="70" t="s">
        <v>249</v>
      </c>
      <c r="E242" s="88">
        <v>45566</v>
      </c>
      <c r="F242" s="97">
        <v>175</v>
      </c>
      <c r="G242" s="97">
        <v>29.17</v>
      </c>
      <c r="H242" s="70" t="s">
        <v>520</v>
      </c>
    </row>
    <row r="243" spans="1:8" x14ac:dyDescent="0.2">
      <c r="A243" s="88">
        <v>45590</v>
      </c>
      <c r="B243" s="70" t="s">
        <v>134</v>
      </c>
      <c r="C243" s="70" t="s">
        <v>500</v>
      </c>
      <c r="D243" s="70" t="s">
        <v>249</v>
      </c>
      <c r="E243" s="88">
        <v>45590</v>
      </c>
      <c r="F243" s="97">
        <v>9.59</v>
      </c>
      <c r="G243" s="97">
        <v>1.6</v>
      </c>
      <c r="H243" s="70" t="s">
        <v>521</v>
      </c>
    </row>
    <row r="244" spans="1:8" x14ac:dyDescent="0.2">
      <c r="A244" s="88">
        <v>45609</v>
      </c>
      <c r="B244" s="70" t="s">
        <v>501</v>
      </c>
      <c r="C244" s="70" t="s">
        <v>502</v>
      </c>
      <c r="D244" s="70" t="s">
        <v>503</v>
      </c>
      <c r="E244" s="88">
        <v>45609</v>
      </c>
      <c r="F244" s="97">
        <v>666.72</v>
      </c>
      <c r="G244" s="97">
        <v>111.12</v>
      </c>
      <c r="H244" s="70">
        <v>111487241</v>
      </c>
    </row>
    <row r="245" spans="1:8" x14ac:dyDescent="0.2">
      <c r="A245" s="88">
        <v>45596</v>
      </c>
      <c r="B245" s="70" t="s">
        <v>395</v>
      </c>
      <c r="C245" s="70" t="s">
        <v>504</v>
      </c>
      <c r="D245" s="70">
        <v>16232</v>
      </c>
      <c r="E245" s="88">
        <v>45596</v>
      </c>
      <c r="F245" s="97">
        <v>567.74</v>
      </c>
      <c r="G245" s="97">
        <v>94.62</v>
      </c>
      <c r="H245" s="70">
        <v>321943962</v>
      </c>
    </row>
    <row r="246" spans="1:8" x14ac:dyDescent="0.2">
      <c r="A246" s="88">
        <v>45593</v>
      </c>
      <c r="B246" s="70" t="s">
        <v>505</v>
      </c>
      <c r="C246" s="70" t="s">
        <v>253</v>
      </c>
      <c r="D246" s="70">
        <v>33054</v>
      </c>
      <c r="E246" s="88">
        <v>45593</v>
      </c>
      <c r="F246" s="97">
        <v>60</v>
      </c>
      <c r="G246" s="97">
        <v>10</v>
      </c>
      <c r="H246" s="70" t="s">
        <v>199</v>
      </c>
    </row>
    <row r="247" spans="1:8" x14ac:dyDescent="0.2">
      <c r="A247" s="88">
        <v>45601</v>
      </c>
      <c r="B247" s="70" t="s">
        <v>95</v>
      </c>
      <c r="C247" s="70" t="s">
        <v>506</v>
      </c>
      <c r="D247" s="70">
        <v>14602</v>
      </c>
      <c r="E247" s="88">
        <v>45601</v>
      </c>
      <c r="F247" s="97">
        <v>87.99</v>
      </c>
      <c r="G247" s="97">
        <v>14.67</v>
      </c>
      <c r="H247" s="70" t="s">
        <v>522</v>
      </c>
    </row>
    <row r="248" spans="1:8" x14ac:dyDescent="0.2">
      <c r="A248" s="88">
        <v>45618</v>
      </c>
      <c r="B248" s="70" t="s">
        <v>505</v>
      </c>
      <c r="C248" s="70" t="s">
        <v>508</v>
      </c>
      <c r="D248" s="70">
        <v>33109</v>
      </c>
      <c r="E248" s="88">
        <v>45618</v>
      </c>
      <c r="F248" s="97">
        <v>576</v>
      </c>
      <c r="G248" s="97">
        <v>96</v>
      </c>
      <c r="H248" s="70" t="s">
        <v>199</v>
      </c>
    </row>
    <row r="249" spans="1:8" x14ac:dyDescent="0.2">
      <c r="A249" s="88">
        <v>45618</v>
      </c>
      <c r="B249" s="70" t="s">
        <v>312</v>
      </c>
      <c r="C249" s="70" t="s">
        <v>509</v>
      </c>
      <c r="D249" s="70">
        <v>1028</v>
      </c>
      <c r="E249" s="88">
        <v>45618</v>
      </c>
      <c r="F249" s="97">
        <v>1680</v>
      </c>
      <c r="G249" s="97">
        <v>280</v>
      </c>
      <c r="H249" s="70">
        <v>375930664</v>
      </c>
    </row>
    <row r="250" spans="1:8" x14ac:dyDescent="0.2">
      <c r="A250" s="88">
        <v>45625</v>
      </c>
      <c r="B250" s="70" t="s">
        <v>261</v>
      </c>
      <c r="C250" s="70" t="s">
        <v>510</v>
      </c>
      <c r="D250" s="70" t="s">
        <v>511</v>
      </c>
      <c r="E250" s="88">
        <v>45625</v>
      </c>
      <c r="F250" s="97">
        <v>150</v>
      </c>
      <c r="G250" s="97">
        <v>25</v>
      </c>
      <c r="H250" s="70">
        <v>376832713</v>
      </c>
    </row>
    <row r="251" spans="1:8" x14ac:dyDescent="0.2">
      <c r="A251" s="88">
        <v>45625</v>
      </c>
      <c r="B251" s="70" t="s">
        <v>261</v>
      </c>
      <c r="C251" s="70" t="s">
        <v>512</v>
      </c>
      <c r="D251" s="70" t="s">
        <v>511</v>
      </c>
      <c r="E251" s="88">
        <v>45625</v>
      </c>
      <c r="F251" s="97">
        <v>300</v>
      </c>
      <c r="G251" s="97">
        <v>50</v>
      </c>
      <c r="H251" s="70">
        <v>376832713</v>
      </c>
    </row>
    <row r="252" spans="1:8" x14ac:dyDescent="0.2">
      <c r="G252" s="66">
        <f>SUM(G216:G251)</f>
        <v>5326.01</v>
      </c>
    </row>
    <row r="253" spans="1:8" x14ac:dyDescent="0.2">
      <c r="A253" s="88"/>
      <c r="B253" s="123" t="s">
        <v>606</v>
      </c>
      <c r="C253" s="70"/>
      <c r="D253" s="70"/>
      <c r="E253" s="70"/>
      <c r="F253" s="97"/>
      <c r="G253" s="97"/>
      <c r="H253" s="70"/>
    </row>
    <row r="254" spans="1:8" ht="48" x14ac:dyDescent="0.2">
      <c r="A254" s="65" t="s">
        <v>607</v>
      </c>
      <c r="B254" s="63" t="s">
        <v>101</v>
      </c>
      <c r="C254" s="63" t="s">
        <v>107</v>
      </c>
      <c r="D254" s="63" t="s">
        <v>82</v>
      </c>
      <c r="E254" s="65" t="s">
        <v>111</v>
      </c>
      <c r="F254" s="64" t="s">
        <v>112</v>
      </c>
      <c r="G254" s="64" t="s">
        <v>108</v>
      </c>
      <c r="H254" s="63" t="s">
        <v>109</v>
      </c>
    </row>
    <row r="255" spans="1:8" x14ac:dyDescent="0.2">
      <c r="A255" s="188">
        <v>45643</v>
      </c>
      <c r="B255" s="11" t="s">
        <v>380</v>
      </c>
      <c r="C255" s="168" t="s">
        <v>532</v>
      </c>
      <c r="D255" s="70" t="s">
        <v>533</v>
      </c>
      <c r="E255" s="88">
        <v>45624</v>
      </c>
      <c r="F255" s="97">
        <v>15.99</v>
      </c>
      <c r="G255" s="97">
        <v>2.67</v>
      </c>
      <c r="H255" s="70" t="s">
        <v>110</v>
      </c>
    </row>
    <row r="256" spans="1:8" x14ac:dyDescent="0.2">
      <c r="A256" s="188">
        <v>45643</v>
      </c>
      <c r="B256" s="11" t="s">
        <v>528</v>
      </c>
      <c r="C256" s="168" t="s">
        <v>529</v>
      </c>
      <c r="D256" s="70" t="s">
        <v>249</v>
      </c>
      <c r="E256" s="88">
        <v>45626</v>
      </c>
      <c r="F256" s="97">
        <v>8.9700000000000006</v>
      </c>
      <c r="G256" s="97">
        <v>1.49</v>
      </c>
      <c r="H256" s="70">
        <v>192805154</v>
      </c>
    </row>
    <row r="257" spans="1:8" x14ac:dyDescent="0.2">
      <c r="A257" s="188">
        <v>45643</v>
      </c>
      <c r="B257" s="11" t="s">
        <v>328</v>
      </c>
      <c r="C257" s="168" t="s">
        <v>531</v>
      </c>
      <c r="D257" s="70" t="s">
        <v>249</v>
      </c>
      <c r="E257" s="88">
        <v>45631</v>
      </c>
      <c r="F257" s="97">
        <v>41.131999999999998</v>
      </c>
      <c r="G257" s="97">
        <v>3.67</v>
      </c>
      <c r="H257" s="70">
        <v>660454836</v>
      </c>
    </row>
    <row r="258" spans="1:8" x14ac:dyDescent="0.2">
      <c r="A258" s="188">
        <v>45643</v>
      </c>
      <c r="B258" s="11" t="s">
        <v>328</v>
      </c>
      <c r="C258" s="168" t="s">
        <v>530</v>
      </c>
      <c r="D258" s="70" t="s">
        <v>249</v>
      </c>
      <c r="E258" s="88">
        <v>45638</v>
      </c>
      <c r="F258" s="97">
        <v>48.45</v>
      </c>
      <c r="G258" s="97">
        <v>0.43</v>
      </c>
      <c r="H258" s="70">
        <v>755163721</v>
      </c>
    </row>
    <row r="259" spans="1:8" x14ac:dyDescent="0.2">
      <c r="A259" s="188">
        <v>45671</v>
      </c>
      <c r="B259" s="11" t="s">
        <v>535</v>
      </c>
      <c r="C259" s="168" t="s">
        <v>536</v>
      </c>
      <c r="D259" s="70" t="s">
        <v>537</v>
      </c>
      <c r="E259" s="88">
        <v>45663</v>
      </c>
      <c r="F259" s="97">
        <v>1743.98</v>
      </c>
      <c r="G259" s="97">
        <v>290.66000000000003</v>
      </c>
      <c r="H259" s="70" t="s">
        <v>608</v>
      </c>
    </row>
    <row r="260" spans="1:8" x14ac:dyDescent="0.2">
      <c r="A260" s="188">
        <v>45735</v>
      </c>
      <c r="B260" s="11" t="s">
        <v>541</v>
      </c>
      <c r="C260" s="168" t="s">
        <v>551</v>
      </c>
      <c r="D260" s="70">
        <v>859360</v>
      </c>
      <c r="E260" s="88">
        <v>45680</v>
      </c>
      <c r="F260" s="97">
        <v>114.44</v>
      </c>
      <c r="G260" s="97">
        <v>19.07</v>
      </c>
      <c r="H260" s="70" t="s">
        <v>609</v>
      </c>
    </row>
    <row r="261" spans="1:8" x14ac:dyDescent="0.2">
      <c r="A261" s="188">
        <v>45688</v>
      </c>
      <c r="B261" s="11" t="s">
        <v>535</v>
      </c>
      <c r="C261" s="168" t="s">
        <v>538</v>
      </c>
      <c r="D261" s="70" t="s">
        <v>539</v>
      </c>
      <c r="E261" s="88">
        <v>45686</v>
      </c>
      <c r="F261" s="97">
        <v>130</v>
      </c>
      <c r="G261" s="97">
        <v>21.67</v>
      </c>
      <c r="H261" s="70" t="s">
        <v>608</v>
      </c>
    </row>
    <row r="262" spans="1:8" x14ac:dyDescent="0.2">
      <c r="A262" s="188">
        <v>45719</v>
      </c>
      <c r="B262" s="11" t="s">
        <v>541</v>
      </c>
      <c r="C262" s="168" t="s">
        <v>542</v>
      </c>
      <c r="D262" s="70" t="s">
        <v>543</v>
      </c>
      <c r="E262" s="88">
        <v>45701</v>
      </c>
      <c r="F262" s="97">
        <v>36.979999999999997</v>
      </c>
      <c r="G262" s="97">
        <v>6.17</v>
      </c>
      <c r="H262" s="70" t="s">
        <v>609</v>
      </c>
    </row>
    <row r="263" spans="1:8" x14ac:dyDescent="0.2">
      <c r="A263" s="188">
        <v>45705</v>
      </c>
      <c r="B263" s="11" t="s">
        <v>95</v>
      </c>
      <c r="C263" s="168" t="s">
        <v>540</v>
      </c>
      <c r="D263" s="70">
        <v>37955</v>
      </c>
      <c r="E263" s="88">
        <v>45706</v>
      </c>
      <c r="F263" s="97">
        <v>109.44</v>
      </c>
      <c r="G263" s="97">
        <v>18.239999999999998</v>
      </c>
      <c r="H263" s="70">
        <v>895296854</v>
      </c>
    </row>
    <row r="264" spans="1:8" x14ac:dyDescent="0.2">
      <c r="A264" s="188">
        <v>45735</v>
      </c>
      <c r="B264" s="11" t="s">
        <v>95</v>
      </c>
      <c r="C264" s="168" t="s">
        <v>546</v>
      </c>
      <c r="D264" s="70" t="s">
        <v>547</v>
      </c>
      <c r="E264" s="88">
        <v>45716</v>
      </c>
      <c r="F264" s="97">
        <v>55.04</v>
      </c>
      <c r="G264" s="97">
        <v>9.17</v>
      </c>
      <c r="H264" s="70">
        <v>385529654</v>
      </c>
    </row>
    <row r="265" spans="1:8" x14ac:dyDescent="0.2">
      <c r="A265" s="188">
        <v>45735</v>
      </c>
      <c r="B265" s="11" t="s">
        <v>95</v>
      </c>
      <c r="C265" s="168" t="s">
        <v>548</v>
      </c>
      <c r="D265" s="70">
        <v>3879</v>
      </c>
      <c r="E265" s="88">
        <v>45723</v>
      </c>
      <c r="F265" s="97">
        <v>720.4</v>
      </c>
      <c r="G265" s="97">
        <v>120.06</v>
      </c>
      <c r="H265" s="70">
        <v>834366812</v>
      </c>
    </row>
    <row r="266" spans="1:8" x14ac:dyDescent="0.2">
      <c r="A266" s="188">
        <v>45735</v>
      </c>
      <c r="B266" s="11" t="s">
        <v>95</v>
      </c>
      <c r="C266" s="168" t="s">
        <v>549</v>
      </c>
      <c r="D266" s="70" t="s">
        <v>550</v>
      </c>
      <c r="E266" s="88">
        <v>45729</v>
      </c>
      <c r="F266" s="97">
        <v>15.99</v>
      </c>
      <c r="G266" s="97">
        <v>2.67</v>
      </c>
      <c r="H266" s="70" t="s">
        <v>110</v>
      </c>
    </row>
    <row r="267" spans="1:8" x14ac:dyDescent="0.2">
      <c r="A267" s="166">
        <v>45769</v>
      </c>
      <c r="B267" s="167" t="s">
        <v>134</v>
      </c>
      <c r="C267" s="167" t="s">
        <v>570</v>
      </c>
      <c r="D267" s="70" t="s">
        <v>583</v>
      </c>
      <c r="E267" s="88">
        <v>45733</v>
      </c>
      <c r="F267" s="97">
        <v>9.89</v>
      </c>
      <c r="G267" s="97">
        <v>1.65</v>
      </c>
      <c r="H267" s="70" t="s">
        <v>583</v>
      </c>
    </row>
    <row r="268" spans="1:8" x14ac:dyDescent="0.2">
      <c r="A268" s="166">
        <v>45769</v>
      </c>
      <c r="B268" s="167" t="s">
        <v>134</v>
      </c>
      <c r="C268" s="167" t="s">
        <v>571</v>
      </c>
      <c r="D268" s="70" t="s">
        <v>584</v>
      </c>
      <c r="E268" s="88">
        <v>45733</v>
      </c>
      <c r="F268" s="97">
        <v>18.04</v>
      </c>
      <c r="G268" s="97">
        <v>3</v>
      </c>
      <c r="H268" s="70" t="s">
        <v>610</v>
      </c>
    </row>
    <row r="269" spans="1:8" x14ac:dyDescent="0.2">
      <c r="A269" s="188">
        <v>45755</v>
      </c>
      <c r="B269" s="188" t="s">
        <v>591</v>
      </c>
      <c r="C269" s="188" t="s">
        <v>592</v>
      </c>
      <c r="D269" s="70">
        <v>603359682</v>
      </c>
      <c r="E269" s="88">
        <v>45747</v>
      </c>
      <c r="F269" s="97">
        <v>474.24</v>
      </c>
      <c r="G269" s="97">
        <v>79.040000000000006</v>
      </c>
      <c r="H269" s="70">
        <v>193548138</v>
      </c>
    </row>
    <row r="270" spans="1:8" x14ac:dyDescent="0.2">
      <c r="A270" s="166">
        <v>45769</v>
      </c>
      <c r="B270" s="166" t="s">
        <v>577</v>
      </c>
      <c r="C270" s="166" t="s">
        <v>578</v>
      </c>
      <c r="D270" s="70">
        <v>16431</v>
      </c>
      <c r="E270" s="88">
        <v>45747</v>
      </c>
      <c r="F270" s="97">
        <v>567.74</v>
      </c>
      <c r="G270" s="97">
        <v>94.62</v>
      </c>
      <c r="H270" s="70">
        <v>321943962</v>
      </c>
    </row>
    <row r="271" spans="1:8" x14ac:dyDescent="0.2">
      <c r="A271" s="166">
        <v>45769</v>
      </c>
      <c r="B271" s="166" t="s">
        <v>580</v>
      </c>
      <c r="C271" s="166" t="s">
        <v>581</v>
      </c>
      <c r="D271" s="70" t="s">
        <v>589</v>
      </c>
      <c r="E271" s="88">
        <v>45747</v>
      </c>
      <c r="F271" s="97">
        <v>333.6</v>
      </c>
      <c r="G271" s="97">
        <v>55.6</v>
      </c>
      <c r="H271" s="70">
        <v>111487241</v>
      </c>
    </row>
    <row r="272" spans="1:8" x14ac:dyDescent="0.2">
      <c r="A272" s="192"/>
      <c r="B272" s="192"/>
      <c r="C272" s="192"/>
      <c r="E272" s="59"/>
      <c r="G272" s="97">
        <f>SUM(G255:G271)</f>
        <v>729.88000000000011</v>
      </c>
    </row>
    <row r="273" spans="1:12" x14ac:dyDescent="0.2">
      <c r="A273" s="192"/>
      <c r="B273" s="192"/>
      <c r="C273" s="192"/>
      <c r="E273" s="59"/>
    </row>
    <row r="274" spans="1:12" x14ac:dyDescent="0.2">
      <c r="B274" s="123" t="s">
        <v>821</v>
      </c>
    </row>
    <row r="275" spans="1:12" ht="48" x14ac:dyDescent="0.2">
      <c r="A275" s="65" t="s">
        <v>607</v>
      </c>
      <c r="B275" s="63" t="s">
        <v>101</v>
      </c>
      <c r="C275" s="63" t="s">
        <v>107</v>
      </c>
      <c r="D275" s="63" t="s">
        <v>82</v>
      </c>
      <c r="E275" s="263" t="s">
        <v>111</v>
      </c>
      <c r="F275" s="64" t="s">
        <v>112</v>
      </c>
      <c r="G275" s="64" t="s">
        <v>108</v>
      </c>
      <c r="H275" s="63" t="s">
        <v>109</v>
      </c>
    </row>
    <row r="276" spans="1:12" x14ac:dyDescent="0.2">
      <c r="A276" s="88">
        <v>45777</v>
      </c>
      <c r="B276" s="70" t="s">
        <v>485</v>
      </c>
      <c r="C276" s="70" t="s">
        <v>486</v>
      </c>
      <c r="D276" s="70" t="s">
        <v>616</v>
      </c>
      <c r="E276" s="264">
        <v>45775</v>
      </c>
      <c r="F276" s="97">
        <v>273</v>
      </c>
      <c r="G276" s="97">
        <v>45.5</v>
      </c>
      <c r="H276" s="70" t="s">
        <v>822</v>
      </c>
      <c r="I276" s="66">
        <v>273</v>
      </c>
      <c r="J276" s="66">
        <v>45.5</v>
      </c>
      <c r="K276" s="66">
        <f>J276-G276</f>
        <v>0</v>
      </c>
      <c r="L276" s="66">
        <f>I276-F276</f>
        <v>0</v>
      </c>
    </row>
    <row r="277" spans="1:12" x14ac:dyDescent="0.2">
      <c r="A277" s="88">
        <v>45790</v>
      </c>
      <c r="B277" s="70" t="s">
        <v>577</v>
      </c>
      <c r="C277" s="70" t="s">
        <v>632</v>
      </c>
      <c r="D277" s="70">
        <v>16490</v>
      </c>
      <c r="E277" s="264">
        <v>45777</v>
      </c>
      <c r="F277" s="97">
        <v>1118.5</v>
      </c>
      <c r="G277" s="97">
        <v>186.42</v>
      </c>
      <c r="H277" s="70">
        <v>321943962</v>
      </c>
      <c r="I277" s="66">
        <v>1118.5</v>
      </c>
      <c r="J277" s="66">
        <v>186.42</v>
      </c>
      <c r="K277" s="66">
        <f t="shared" ref="K277:K295" si="0">J277-G277</f>
        <v>0</v>
      </c>
      <c r="L277" s="66">
        <f t="shared" ref="L277:L317" si="1">I277-F277</f>
        <v>0</v>
      </c>
    </row>
    <row r="278" spans="1:12" x14ac:dyDescent="0.2">
      <c r="A278" s="88">
        <v>45790</v>
      </c>
      <c r="B278" s="70" t="s">
        <v>95</v>
      </c>
      <c r="C278" s="70" t="s">
        <v>633</v>
      </c>
      <c r="D278" s="70" t="s">
        <v>249</v>
      </c>
      <c r="E278" s="264">
        <v>45770</v>
      </c>
      <c r="F278" s="97">
        <v>73.849999999999994</v>
      </c>
      <c r="G278" s="97">
        <v>9.5</v>
      </c>
      <c r="H278" s="70">
        <v>660454336</v>
      </c>
      <c r="I278" s="66">
        <v>73.849999999999994</v>
      </c>
      <c r="J278" s="66">
        <v>9.5</v>
      </c>
      <c r="K278" s="66">
        <f t="shared" si="0"/>
        <v>0</v>
      </c>
      <c r="L278" s="66">
        <f t="shared" si="1"/>
        <v>0</v>
      </c>
    </row>
    <row r="279" spans="1:12" x14ac:dyDescent="0.2">
      <c r="A279" s="166">
        <v>45797</v>
      </c>
      <c r="B279" s="167" t="s">
        <v>393</v>
      </c>
      <c r="C279" s="253" t="s">
        <v>394</v>
      </c>
      <c r="D279" s="233" t="s">
        <v>634</v>
      </c>
      <c r="E279" s="264">
        <v>45786</v>
      </c>
      <c r="F279" s="97">
        <v>45</v>
      </c>
      <c r="G279" s="97">
        <v>7.5</v>
      </c>
      <c r="H279" s="70" t="s">
        <v>331</v>
      </c>
      <c r="I279" s="66">
        <v>45</v>
      </c>
      <c r="J279" s="66">
        <v>7.5</v>
      </c>
      <c r="K279" s="66">
        <f t="shared" si="0"/>
        <v>0</v>
      </c>
      <c r="L279" s="66">
        <f t="shared" si="1"/>
        <v>0</v>
      </c>
    </row>
    <row r="280" spans="1:12" x14ac:dyDescent="0.2">
      <c r="A280" s="88">
        <v>45797</v>
      </c>
      <c r="B280" s="70" t="s">
        <v>95</v>
      </c>
      <c r="C280" s="70" t="s">
        <v>635</v>
      </c>
      <c r="D280" s="70" t="s">
        <v>647</v>
      </c>
      <c r="E280" s="264">
        <v>45786</v>
      </c>
      <c r="F280" s="97">
        <v>34.69</v>
      </c>
      <c r="G280" s="97">
        <v>5.78</v>
      </c>
      <c r="H280" s="70" t="s">
        <v>823</v>
      </c>
      <c r="I280" s="66">
        <v>26.02</v>
      </c>
      <c r="J280" s="66">
        <v>5.78</v>
      </c>
      <c r="K280" s="66">
        <f t="shared" si="0"/>
        <v>0</v>
      </c>
      <c r="L280" s="66">
        <f t="shared" si="1"/>
        <v>-8.6699999999999982</v>
      </c>
    </row>
    <row r="281" spans="1:12" x14ac:dyDescent="0.2">
      <c r="A281" s="88">
        <v>45825</v>
      </c>
      <c r="B281" s="70" t="s">
        <v>577</v>
      </c>
      <c r="C281" s="70" t="s">
        <v>642</v>
      </c>
      <c r="D281" s="70">
        <v>16540</v>
      </c>
      <c r="E281" s="264">
        <v>45808</v>
      </c>
      <c r="F281" s="97">
        <v>597.11</v>
      </c>
      <c r="G281" s="97">
        <v>99.51</v>
      </c>
      <c r="H281" s="70">
        <v>321943962</v>
      </c>
      <c r="I281" s="66">
        <v>597.11</v>
      </c>
      <c r="J281" s="66">
        <v>99.51</v>
      </c>
      <c r="K281" s="66">
        <f t="shared" si="0"/>
        <v>0</v>
      </c>
      <c r="L281" s="66">
        <f t="shared" si="1"/>
        <v>0</v>
      </c>
    </row>
    <row r="282" spans="1:12" x14ac:dyDescent="0.2">
      <c r="A282" s="88">
        <v>45825</v>
      </c>
      <c r="B282" s="70" t="s">
        <v>95</v>
      </c>
      <c r="C282" s="70" t="s">
        <v>643</v>
      </c>
      <c r="D282" s="70">
        <v>1048335</v>
      </c>
      <c r="E282" s="264">
        <v>45790</v>
      </c>
      <c r="F282" s="97">
        <v>7.99</v>
      </c>
      <c r="G282" s="97">
        <v>1.33</v>
      </c>
      <c r="H282" s="70" t="s">
        <v>110</v>
      </c>
      <c r="I282" s="66">
        <v>7.99</v>
      </c>
      <c r="J282" s="66">
        <v>1.33</v>
      </c>
      <c r="K282" s="66">
        <f t="shared" si="0"/>
        <v>0</v>
      </c>
      <c r="L282" s="66">
        <f t="shared" si="1"/>
        <v>0</v>
      </c>
    </row>
    <row r="283" spans="1:12" x14ac:dyDescent="0.2">
      <c r="A283" s="88">
        <v>45825</v>
      </c>
      <c r="B283" s="70" t="s">
        <v>651</v>
      </c>
      <c r="C283" s="70" t="s">
        <v>652</v>
      </c>
      <c r="D283" s="70">
        <v>6966</v>
      </c>
      <c r="E283" s="264">
        <v>45827</v>
      </c>
      <c r="F283" s="97">
        <v>399</v>
      </c>
      <c r="G283" s="97">
        <v>66.5</v>
      </c>
      <c r="H283" s="70">
        <v>665048328</v>
      </c>
      <c r="I283" s="66">
        <v>399</v>
      </c>
      <c r="J283" s="66">
        <v>66.5</v>
      </c>
      <c r="K283" s="66">
        <f t="shared" si="0"/>
        <v>0</v>
      </c>
      <c r="L283" s="66">
        <f t="shared" si="1"/>
        <v>0</v>
      </c>
    </row>
    <row r="284" spans="1:12" x14ac:dyDescent="0.2">
      <c r="A284" s="88">
        <v>45852</v>
      </c>
      <c r="B284" s="70" t="s">
        <v>577</v>
      </c>
      <c r="C284" s="70" t="s">
        <v>660</v>
      </c>
      <c r="D284" s="70">
        <v>16595</v>
      </c>
      <c r="E284" s="264">
        <v>45838</v>
      </c>
      <c r="F284" s="97">
        <v>1194.25</v>
      </c>
      <c r="G284" s="97">
        <v>199.05</v>
      </c>
      <c r="H284" s="70">
        <v>321943962</v>
      </c>
      <c r="I284" s="66">
        <v>1194.25</v>
      </c>
      <c r="J284" s="66">
        <v>199.05</v>
      </c>
      <c r="K284" s="66">
        <f t="shared" si="0"/>
        <v>0</v>
      </c>
      <c r="L284" s="66">
        <f t="shared" si="1"/>
        <v>0</v>
      </c>
    </row>
    <row r="285" spans="1:12" x14ac:dyDescent="0.2">
      <c r="A285" s="88">
        <v>45852</v>
      </c>
      <c r="B285" s="70" t="s">
        <v>661</v>
      </c>
      <c r="C285" s="70" t="s">
        <v>662</v>
      </c>
      <c r="D285" s="70">
        <v>1287417</v>
      </c>
      <c r="E285" s="264">
        <v>45842</v>
      </c>
      <c r="F285" s="97">
        <v>75.180000000000007</v>
      </c>
      <c r="G285" s="97">
        <v>12.53</v>
      </c>
      <c r="H285" s="70">
        <v>887750270</v>
      </c>
      <c r="I285" s="66">
        <v>75.180000000000007</v>
      </c>
      <c r="J285" s="66">
        <v>12.53</v>
      </c>
      <c r="K285" s="66">
        <f t="shared" si="0"/>
        <v>0</v>
      </c>
      <c r="L285" s="66">
        <f t="shared" si="1"/>
        <v>0</v>
      </c>
    </row>
    <row r="286" spans="1:12" x14ac:dyDescent="0.2">
      <c r="A286" s="88">
        <v>45862</v>
      </c>
      <c r="B286" s="70" t="s">
        <v>664</v>
      </c>
      <c r="C286" s="70" t="s">
        <v>665</v>
      </c>
      <c r="D286" s="70" t="s">
        <v>666</v>
      </c>
      <c r="E286" s="264">
        <v>45854</v>
      </c>
      <c r="F286" s="97">
        <v>252</v>
      </c>
      <c r="G286" s="97">
        <v>42</v>
      </c>
      <c r="H286" s="70">
        <v>120431530</v>
      </c>
      <c r="I286" s="66">
        <v>252</v>
      </c>
      <c r="J286" s="66">
        <v>42</v>
      </c>
      <c r="K286" s="66">
        <f t="shared" si="0"/>
        <v>0</v>
      </c>
      <c r="L286" s="66">
        <f t="shared" si="1"/>
        <v>0</v>
      </c>
    </row>
    <row r="287" spans="1:12" x14ac:dyDescent="0.2">
      <c r="A287" s="88">
        <v>45862</v>
      </c>
      <c r="B287" s="70" t="s">
        <v>667</v>
      </c>
      <c r="C287" s="70" t="s">
        <v>668</v>
      </c>
      <c r="D287" s="70">
        <v>56877</v>
      </c>
      <c r="E287" s="264">
        <v>45856</v>
      </c>
      <c r="F287" s="97">
        <v>139.24</v>
      </c>
      <c r="G287" s="97">
        <v>23.2</v>
      </c>
      <c r="H287" s="70">
        <v>129554495</v>
      </c>
      <c r="I287" s="66">
        <v>139.24</v>
      </c>
      <c r="J287" s="66">
        <v>23.2</v>
      </c>
      <c r="K287" s="66">
        <f t="shared" si="0"/>
        <v>0</v>
      </c>
      <c r="L287" s="66">
        <f t="shared" si="1"/>
        <v>0</v>
      </c>
    </row>
    <row r="288" spans="1:12" x14ac:dyDescent="0.2">
      <c r="A288" s="88">
        <v>45870</v>
      </c>
      <c r="B288" s="70" t="s">
        <v>95</v>
      </c>
      <c r="C288" s="70" t="s">
        <v>672</v>
      </c>
      <c r="D288" s="70" t="s">
        <v>674</v>
      </c>
      <c r="E288" s="264">
        <v>45856</v>
      </c>
      <c r="F288" s="97">
        <v>19.489999999999998</v>
      </c>
      <c r="G288" s="97">
        <v>3.25</v>
      </c>
      <c r="H288" s="70" t="s">
        <v>824</v>
      </c>
      <c r="I288" s="66">
        <v>19.489999999999998</v>
      </c>
      <c r="J288" s="66">
        <v>3.25</v>
      </c>
      <c r="K288" s="66">
        <f t="shared" si="0"/>
        <v>0</v>
      </c>
      <c r="L288" s="66">
        <f t="shared" si="1"/>
        <v>0</v>
      </c>
    </row>
    <row r="289" spans="1:12" x14ac:dyDescent="0.2">
      <c r="A289" s="88">
        <v>45870</v>
      </c>
      <c r="B289" s="70" t="s">
        <v>95</v>
      </c>
      <c r="C289" s="70" t="s">
        <v>673</v>
      </c>
      <c r="D289" s="70" t="s">
        <v>675</v>
      </c>
      <c r="E289" s="264">
        <v>45857</v>
      </c>
      <c r="F289" s="97">
        <v>18.36</v>
      </c>
      <c r="G289" s="97">
        <v>3.08</v>
      </c>
      <c r="H289" s="70" t="s">
        <v>110</v>
      </c>
      <c r="I289" s="66">
        <v>18.36</v>
      </c>
      <c r="J289" s="66">
        <v>3.08</v>
      </c>
      <c r="K289" s="66">
        <f t="shared" si="0"/>
        <v>0</v>
      </c>
      <c r="L289" s="66">
        <f t="shared" si="1"/>
        <v>0</v>
      </c>
    </row>
    <row r="290" spans="1:12" x14ac:dyDescent="0.2">
      <c r="A290" s="88">
        <v>45870</v>
      </c>
      <c r="B290" s="70" t="s">
        <v>580</v>
      </c>
      <c r="C290" s="70" t="s">
        <v>676</v>
      </c>
      <c r="D290" s="70" t="s">
        <v>677</v>
      </c>
      <c r="E290" s="264">
        <v>45868</v>
      </c>
      <c r="F290" s="97">
        <v>356.1</v>
      </c>
      <c r="G290" s="97">
        <v>59.35</v>
      </c>
      <c r="H290" s="70">
        <v>111487241</v>
      </c>
      <c r="I290" s="66">
        <v>356.1</v>
      </c>
      <c r="J290" s="66">
        <v>59.35</v>
      </c>
      <c r="K290" s="66">
        <f t="shared" si="0"/>
        <v>0</v>
      </c>
      <c r="L290" s="66">
        <f t="shared" si="1"/>
        <v>0</v>
      </c>
    </row>
    <row r="291" spans="1:12" x14ac:dyDescent="0.2">
      <c r="A291" s="88">
        <v>45873</v>
      </c>
      <c r="B291" s="70" t="s">
        <v>678</v>
      </c>
      <c r="C291" s="70" t="s">
        <v>679</v>
      </c>
      <c r="D291" s="70">
        <v>4650</v>
      </c>
      <c r="E291" s="264">
        <v>45872</v>
      </c>
      <c r="F291" s="97">
        <v>90</v>
      </c>
      <c r="G291" s="97">
        <v>15</v>
      </c>
      <c r="H291" s="70">
        <v>407543407</v>
      </c>
      <c r="I291" s="66">
        <v>90</v>
      </c>
      <c r="J291" s="66">
        <v>15</v>
      </c>
      <c r="K291" s="66">
        <f t="shared" si="0"/>
        <v>0</v>
      </c>
      <c r="L291" s="66">
        <f t="shared" si="1"/>
        <v>0</v>
      </c>
    </row>
    <row r="292" spans="1:12" x14ac:dyDescent="0.2">
      <c r="A292" s="88">
        <v>45875</v>
      </c>
      <c r="B292" s="70" t="s">
        <v>680</v>
      </c>
      <c r="C292" s="70" t="s">
        <v>681</v>
      </c>
      <c r="D292" s="70">
        <v>33806</v>
      </c>
      <c r="E292" s="264">
        <v>45875</v>
      </c>
      <c r="F292" s="97">
        <v>240</v>
      </c>
      <c r="G292" s="97">
        <v>40</v>
      </c>
      <c r="H292" s="70" t="s">
        <v>199</v>
      </c>
      <c r="I292" s="66">
        <v>240</v>
      </c>
      <c r="J292" s="66">
        <v>40</v>
      </c>
      <c r="K292" s="66">
        <f t="shared" si="0"/>
        <v>0</v>
      </c>
      <c r="L292" s="66">
        <f t="shared" si="1"/>
        <v>0</v>
      </c>
    </row>
    <row r="293" spans="1:12" x14ac:dyDescent="0.2">
      <c r="A293" s="88">
        <v>45915</v>
      </c>
      <c r="B293" s="70" t="s">
        <v>95</v>
      </c>
      <c r="C293" s="70" t="s">
        <v>703</v>
      </c>
      <c r="D293" s="70" t="s">
        <v>249</v>
      </c>
      <c r="E293" s="264">
        <v>45888</v>
      </c>
      <c r="F293" s="97">
        <v>8.9700000000000006</v>
      </c>
      <c r="G293" s="97">
        <v>1.5</v>
      </c>
      <c r="H293" s="70">
        <v>987576246</v>
      </c>
      <c r="I293" s="66">
        <v>8.9700000000000006</v>
      </c>
      <c r="J293" s="66">
        <v>1.5</v>
      </c>
      <c r="K293" s="66">
        <f t="shared" si="0"/>
        <v>0</v>
      </c>
      <c r="L293" s="66">
        <f t="shared" si="1"/>
        <v>0</v>
      </c>
    </row>
    <row r="294" spans="1:12" x14ac:dyDescent="0.2">
      <c r="A294" s="88">
        <v>45915</v>
      </c>
      <c r="B294" s="70" t="s">
        <v>95</v>
      </c>
      <c r="C294" s="70" t="s">
        <v>825</v>
      </c>
      <c r="D294" s="70" t="s">
        <v>809</v>
      </c>
      <c r="E294" s="264">
        <v>45900</v>
      </c>
      <c r="F294" s="97">
        <v>36.090000000000003</v>
      </c>
      <c r="G294" s="97">
        <v>6.02</v>
      </c>
      <c r="H294" s="70" t="s">
        <v>110</v>
      </c>
      <c r="I294" s="66">
        <v>72.180000000000007</v>
      </c>
      <c r="J294" s="66">
        <v>12.04</v>
      </c>
      <c r="K294" s="66">
        <f t="shared" si="0"/>
        <v>6.02</v>
      </c>
      <c r="L294" s="66">
        <f t="shared" si="1"/>
        <v>36.090000000000003</v>
      </c>
    </row>
    <row r="295" spans="1:12" x14ac:dyDescent="0.2">
      <c r="A295" s="88">
        <v>45915</v>
      </c>
      <c r="B295" s="70" t="s">
        <v>95</v>
      </c>
      <c r="C295" s="70" t="s">
        <v>825</v>
      </c>
      <c r="D295" s="70" t="s">
        <v>809</v>
      </c>
      <c r="E295" s="264">
        <v>45900</v>
      </c>
      <c r="F295" s="97">
        <v>36.090000000000003</v>
      </c>
      <c r="G295" s="97">
        <v>6.02</v>
      </c>
      <c r="H295" s="70" t="s">
        <v>110</v>
      </c>
      <c r="K295" s="66">
        <f t="shared" si="0"/>
        <v>-6.02</v>
      </c>
      <c r="L295" s="66">
        <f t="shared" si="1"/>
        <v>-36.090000000000003</v>
      </c>
    </row>
    <row r="296" spans="1:12" x14ac:dyDescent="0.2">
      <c r="A296" s="88">
        <v>45915</v>
      </c>
      <c r="B296" s="70" t="s">
        <v>95</v>
      </c>
      <c r="C296" s="70" t="s">
        <v>705</v>
      </c>
      <c r="D296" s="70" t="s">
        <v>810</v>
      </c>
      <c r="E296" s="264">
        <v>45874</v>
      </c>
      <c r="F296" s="97">
        <v>4.49</v>
      </c>
      <c r="G296" s="97">
        <v>0.75</v>
      </c>
      <c r="H296" s="70" t="s">
        <v>110</v>
      </c>
      <c r="I296" s="66">
        <v>4.49</v>
      </c>
      <c r="J296" s="66">
        <v>0.75</v>
      </c>
      <c r="K296" s="66">
        <f>J296-G296</f>
        <v>0</v>
      </c>
      <c r="L296" s="66">
        <f t="shared" si="1"/>
        <v>0</v>
      </c>
    </row>
    <row r="297" spans="1:12" x14ac:dyDescent="0.2">
      <c r="A297" s="88">
        <v>45915</v>
      </c>
      <c r="B297" s="70" t="s">
        <v>485</v>
      </c>
      <c r="C297" s="70" t="s">
        <v>706</v>
      </c>
      <c r="D297" s="70">
        <v>1466</v>
      </c>
      <c r="E297" s="264">
        <v>45883</v>
      </c>
      <c r="F297" s="97">
        <v>18</v>
      </c>
      <c r="G297" s="97">
        <v>3</v>
      </c>
      <c r="H297" s="70" t="s">
        <v>822</v>
      </c>
      <c r="I297" s="66">
        <v>18</v>
      </c>
      <c r="J297" s="66">
        <v>3</v>
      </c>
      <c r="K297" s="66">
        <f t="shared" ref="K297:K317" si="2">J297-G297</f>
        <v>0</v>
      </c>
      <c r="L297" s="66">
        <f t="shared" si="1"/>
        <v>0</v>
      </c>
    </row>
    <row r="298" spans="1:12" x14ac:dyDescent="0.2">
      <c r="A298" s="88">
        <v>45916</v>
      </c>
      <c r="B298" s="70" t="s">
        <v>577</v>
      </c>
      <c r="C298" s="70" t="s">
        <v>712</v>
      </c>
      <c r="D298" s="70">
        <v>16704</v>
      </c>
      <c r="E298" s="264">
        <v>45900</v>
      </c>
      <c r="F298" s="97">
        <v>597.11</v>
      </c>
      <c r="G298" s="97">
        <v>99.51</v>
      </c>
      <c r="H298" s="70">
        <v>321943962</v>
      </c>
      <c r="I298" s="66">
        <v>597.11</v>
      </c>
      <c r="J298" s="66">
        <v>99.51</v>
      </c>
      <c r="K298" s="66">
        <f t="shared" si="2"/>
        <v>0</v>
      </c>
      <c r="L298" s="66">
        <f t="shared" si="1"/>
        <v>0</v>
      </c>
    </row>
    <row r="299" spans="1:12" x14ac:dyDescent="0.2">
      <c r="A299" s="88">
        <v>45916</v>
      </c>
      <c r="B299" s="70" t="s">
        <v>713</v>
      </c>
      <c r="C299" s="70" t="s">
        <v>714</v>
      </c>
      <c r="D299" s="70" t="s">
        <v>813</v>
      </c>
      <c r="E299" s="264">
        <v>45880</v>
      </c>
      <c r="F299" s="97">
        <v>619.84</v>
      </c>
      <c r="G299" s="97">
        <v>23.84</v>
      </c>
      <c r="H299" s="70" t="s">
        <v>836</v>
      </c>
      <c r="I299" s="66">
        <v>619.84</v>
      </c>
      <c r="J299" s="66">
        <v>23.84</v>
      </c>
      <c r="K299" s="66">
        <f t="shared" si="2"/>
        <v>0</v>
      </c>
      <c r="L299" s="66">
        <f t="shared" si="1"/>
        <v>0</v>
      </c>
    </row>
    <row r="300" spans="1:12" x14ac:dyDescent="0.2">
      <c r="A300" s="88">
        <v>45931</v>
      </c>
      <c r="B300" s="70" t="s">
        <v>724</v>
      </c>
      <c r="C300" s="70" t="s">
        <v>725</v>
      </c>
      <c r="D300" s="70" t="s">
        <v>814</v>
      </c>
      <c r="E300" s="264">
        <v>45926</v>
      </c>
      <c r="F300" s="97">
        <v>536.4</v>
      </c>
      <c r="G300" s="97">
        <v>89.4</v>
      </c>
      <c r="H300" s="70" t="s">
        <v>826</v>
      </c>
      <c r="I300" s="66">
        <v>536.4</v>
      </c>
      <c r="J300" s="66">
        <v>89.4</v>
      </c>
      <c r="K300" s="66">
        <f t="shared" si="2"/>
        <v>0</v>
      </c>
      <c r="L300" s="66">
        <f t="shared" si="1"/>
        <v>0</v>
      </c>
    </row>
    <row r="301" spans="1:12" x14ac:dyDescent="0.2">
      <c r="A301" s="88">
        <v>45931</v>
      </c>
      <c r="B301" s="70" t="s">
        <v>680</v>
      </c>
      <c r="C301" s="70" t="s">
        <v>726</v>
      </c>
      <c r="D301" s="70">
        <v>33932</v>
      </c>
      <c r="E301" s="264">
        <v>45926</v>
      </c>
      <c r="F301" s="97">
        <v>150</v>
      </c>
      <c r="G301" s="97">
        <v>25</v>
      </c>
      <c r="H301" s="70" t="s">
        <v>199</v>
      </c>
      <c r="I301" s="66">
        <v>150</v>
      </c>
      <c r="J301" s="66">
        <v>25</v>
      </c>
      <c r="K301" s="66">
        <f t="shared" si="2"/>
        <v>0</v>
      </c>
      <c r="L301" s="66">
        <f t="shared" si="1"/>
        <v>0</v>
      </c>
    </row>
    <row r="302" spans="1:12" x14ac:dyDescent="0.2">
      <c r="A302" s="88">
        <v>45945</v>
      </c>
      <c r="B302" s="70" t="s">
        <v>577</v>
      </c>
      <c r="C302" s="70" t="s">
        <v>737</v>
      </c>
      <c r="D302" s="70">
        <v>16754</v>
      </c>
      <c r="E302" s="264">
        <v>45930</v>
      </c>
      <c r="F302" s="97">
        <v>597.11</v>
      </c>
      <c r="G302" s="97">
        <v>99.51</v>
      </c>
      <c r="H302" s="70">
        <v>321943962</v>
      </c>
      <c r="I302" s="66">
        <v>597.11</v>
      </c>
      <c r="J302" s="66">
        <v>99.51</v>
      </c>
      <c r="K302" s="66">
        <f t="shared" si="2"/>
        <v>0</v>
      </c>
      <c r="L302" s="66">
        <f t="shared" si="1"/>
        <v>0</v>
      </c>
    </row>
    <row r="303" spans="1:12" x14ac:dyDescent="0.2">
      <c r="A303" s="88">
        <v>45959</v>
      </c>
      <c r="B303" s="70" t="s">
        <v>680</v>
      </c>
      <c r="C303" s="70" t="s">
        <v>744</v>
      </c>
      <c r="D303" s="70">
        <v>34009</v>
      </c>
      <c r="E303" s="264">
        <v>45958</v>
      </c>
      <c r="F303" s="97">
        <v>120</v>
      </c>
      <c r="G303" s="97">
        <v>20</v>
      </c>
      <c r="H303" s="70" t="s">
        <v>199</v>
      </c>
      <c r="I303" s="66">
        <v>120</v>
      </c>
      <c r="J303" s="66">
        <v>20</v>
      </c>
      <c r="K303" s="66">
        <f t="shared" si="2"/>
        <v>0</v>
      </c>
      <c r="L303" s="66">
        <f t="shared" si="1"/>
        <v>0</v>
      </c>
    </row>
    <row r="304" spans="1:12" x14ac:dyDescent="0.2">
      <c r="A304" s="88">
        <v>45966</v>
      </c>
      <c r="B304" s="70" t="s">
        <v>380</v>
      </c>
      <c r="C304" s="70" t="s">
        <v>749</v>
      </c>
      <c r="D304" s="70" t="s">
        <v>815</v>
      </c>
      <c r="E304" s="264">
        <v>45948</v>
      </c>
      <c r="F304" s="97">
        <v>31.99</v>
      </c>
      <c r="G304" s="97">
        <v>5.33</v>
      </c>
      <c r="H304" s="70" t="s">
        <v>827</v>
      </c>
      <c r="I304" s="66">
        <v>31.99</v>
      </c>
      <c r="J304" s="66">
        <v>5.33</v>
      </c>
      <c r="K304" s="66">
        <f t="shared" si="2"/>
        <v>0</v>
      </c>
      <c r="L304" s="66">
        <f t="shared" si="1"/>
        <v>0</v>
      </c>
    </row>
    <row r="305" spans="1:12" x14ac:dyDescent="0.2">
      <c r="A305" s="88">
        <v>45966</v>
      </c>
      <c r="B305" s="70" t="s">
        <v>380</v>
      </c>
      <c r="C305" s="70" t="s">
        <v>750</v>
      </c>
      <c r="D305" s="70">
        <v>488963</v>
      </c>
      <c r="E305" s="264">
        <v>45946</v>
      </c>
      <c r="F305" s="97">
        <v>148.68</v>
      </c>
      <c r="G305" s="97">
        <v>24.78</v>
      </c>
      <c r="H305" s="70" t="s">
        <v>332</v>
      </c>
      <c r="I305" s="66">
        <v>148.68</v>
      </c>
      <c r="J305" s="66">
        <v>24.78</v>
      </c>
      <c r="K305" s="66">
        <f t="shared" si="2"/>
        <v>0</v>
      </c>
      <c r="L305" s="66">
        <f t="shared" si="1"/>
        <v>0</v>
      </c>
    </row>
    <row r="306" spans="1:12" x14ac:dyDescent="0.2">
      <c r="A306" s="88">
        <v>45985</v>
      </c>
      <c r="B306" s="70" t="s">
        <v>577</v>
      </c>
      <c r="C306" s="70" t="s">
        <v>762</v>
      </c>
      <c r="D306" s="70">
        <v>16811</v>
      </c>
      <c r="E306" s="264">
        <v>45961</v>
      </c>
      <c r="F306" s="97">
        <v>597.11</v>
      </c>
      <c r="G306" s="97">
        <v>99.51</v>
      </c>
      <c r="H306" s="70">
        <v>321943962</v>
      </c>
      <c r="I306" s="66">
        <v>597.11</v>
      </c>
      <c r="J306" s="66">
        <v>99.51</v>
      </c>
      <c r="K306" s="66">
        <f t="shared" si="2"/>
        <v>0</v>
      </c>
      <c r="L306" s="66">
        <f t="shared" si="1"/>
        <v>0</v>
      </c>
    </row>
    <row r="307" spans="1:12" x14ac:dyDescent="0.2">
      <c r="A307" s="88">
        <v>45985</v>
      </c>
      <c r="B307" s="70" t="s">
        <v>328</v>
      </c>
      <c r="C307" s="70" t="s">
        <v>763</v>
      </c>
      <c r="D307" s="70" t="s">
        <v>816</v>
      </c>
      <c r="E307" s="264">
        <v>45970</v>
      </c>
      <c r="F307" s="97">
        <v>95.88</v>
      </c>
      <c r="G307" s="97">
        <v>15.98</v>
      </c>
      <c r="H307" s="70" t="s">
        <v>187</v>
      </c>
      <c r="I307" s="66">
        <v>95.88</v>
      </c>
      <c r="J307" s="66">
        <v>15.98</v>
      </c>
      <c r="K307" s="66">
        <f t="shared" si="2"/>
        <v>0</v>
      </c>
      <c r="L307" s="66">
        <f t="shared" si="1"/>
        <v>0</v>
      </c>
    </row>
    <row r="308" spans="1:12" x14ac:dyDescent="0.2">
      <c r="A308" s="88">
        <v>45985</v>
      </c>
      <c r="B308" s="70" t="s">
        <v>767</v>
      </c>
      <c r="C308" s="70" t="s">
        <v>766</v>
      </c>
      <c r="D308" s="70" t="s">
        <v>817</v>
      </c>
      <c r="E308" s="264">
        <v>45951</v>
      </c>
      <c r="F308" s="97">
        <v>15.9</v>
      </c>
      <c r="G308" s="97">
        <v>2.65</v>
      </c>
      <c r="H308" s="70" t="s">
        <v>829</v>
      </c>
      <c r="I308" s="66">
        <v>11.93</v>
      </c>
      <c r="J308" s="66">
        <v>2.65</v>
      </c>
      <c r="K308" s="66">
        <f t="shared" si="2"/>
        <v>0</v>
      </c>
      <c r="L308" s="66">
        <f t="shared" si="1"/>
        <v>-3.9700000000000006</v>
      </c>
    </row>
    <row r="309" spans="1:12" x14ac:dyDescent="0.2">
      <c r="A309" s="88">
        <v>45985</v>
      </c>
      <c r="B309" s="70" t="s">
        <v>261</v>
      </c>
      <c r="C309" s="70" t="s">
        <v>768</v>
      </c>
      <c r="D309" s="70" t="s">
        <v>818</v>
      </c>
      <c r="E309" s="264">
        <v>45983</v>
      </c>
      <c r="F309" s="97">
        <v>321</v>
      </c>
      <c r="G309" s="97">
        <v>53.5</v>
      </c>
      <c r="H309" s="70">
        <v>376832713</v>
      </c>
      <c r="I309" s="66">
        <v>321</v>
      </c>
      <c r="J309" s="66">
        <v>53.5</v>
      </c>
      <c r="K309" s="66">
        <f t="shared" si="2"/>
        <v>0</v>
      </c>
      <c r="L309" s="66">
        <f t="shared" si="1"/>
        <v>0</v>
      </c>
    </row>
    <row r="310" spans="1:12" x14ac:dyDescent="0.2">
      <c r="A310" s="88">
        <v>45985</v>
      </c>
      <c r="B310" s="70" t="s">
        <v>680</v>
      </c>
      <c r="C310" s="70" t="s">
        <v>769</v>
      </c>
      <c r="D310" s="70">
        <v>34080</v>
      </c>
      <c r="E310" s="264">
        <v>45986</v>
      </c>
      <c r="F310" s="97">
        <v>576</v>
      </c>
      <c r="G310" s="97">
        <v>96</v>
      </c>
      <c r="H310" s="70" t="s">
        <v>199</v>
      </c>
      <c r="I310" s="66">
        <v>576</v>
      </c>
      <c r="J310" s="66">
        <v>96</v>
      </c>
      <c r="K310" s="66">
        <f t="shared" si="2"/>
        <v>0</v>
      </c>
      <c r="L310" s="66">
        <f t="shared" si="1"/>
        <v>0</v>
      </c>
    </row>
    <row r="311" spans="1:12" x14ac:dyDescent="0.2">
      <c r="A311" s="88">
        <v>45985</v>
      </c>
      <c r="B311" s="70" t="s">
        <v>528</v>
      </c>
      <c r="C311" s="70" t="s">
        <v>770</v>
      </c>
      <c r="D311" s="70" t="s">
        <v>249</v>
      </c>
      <c r="E311" s="264">
        <v>45989</v>
      </c>
      <c r="F311" s="97">
        <v>28.83</v>
      </c>
      <c r="G311" s="97">
        <v>4.0199999999999996</v>
      </c>
      <c r="H311" s="70">
        <v>813053468</v>
      </c>
      <c r="I311" s="66">
        <v>53.62</v>
      </c>
      <c r="J311" s="66">
        <v>7.35</v>
      </c>
      <c r="K311" s="66">
        <f t="shared" si="2"/>
        <v>3.33</v>
      </c>
      <c r="L311" s="66">
        <f t="shared" si="1"/>
        <v>24.79</v>
      </c>
    </row>
    <row r="312" spans="1:12" x14ac:dyDescent="0.2">
      <c r="A312" s="88">
        <v>45985</v>
      </c>
      <c r="B312" s="70" t="s">
        <v>528</v>
      </c>
      <c r="C312" s="70" t="s">
        <v>770</v>
      </c>
      <c r="D312" s="70" t="s">
        <v>249</v>
      </c>
      <c r="E312" s="264">
        <v>45989</v>
      </c>
      <c r="F312" s="97">
        <v>19.989999999999998</v>
      </c>
      <c r="G312" s="97">
        <v>3.33</v>
      </c>
      <c r="H312" s="70">
        <v>813053468</v>
      </c>
      <c r="K312" s="66">
        <f t="shared" si="2"/>
        <v>-3.33</v>
      </c>
      <c r="L312" s="66">
        <f t="shared" si="1"/>
        <v>-19.989999999999998</v>
      </c>
    </row>
    <row r="313" spans="1:12" x14ac:dyDescent="0.2">
      <c r="A313" s="88">
        <v>45993</v>
      </c>
      <c r="B313" s="70" t="s">
        <v>312</v>
      </c>
      <c r="C313" s="70" t="s">
        <v>509</v>
      </c>
      <c r="D313" s="70">
        <v>1164</v>
      </c>
      <c r="E313" s="264">
        <v>45989</v>
      </c>
      <c r="F313" s="97">
        <v>1920</v>
      </c>
      <c r="G313" s="97">
        <v>320</v>
      </c>
      <c r="H313" s="70">
        <v>375930664</v>
      </c>
      <c r="I313" s="66">
        <v>1920</v>
      </c>
      <c r="J313" s="66">
        <v>320</v>
      </c>
      <c r="K313" s="66">
        <f t="shared" si="2"/>
        <v>0</v>
      </c>
      <c r="L313" s="66">
        <f t="shared" si="1"/>
        <v>0</v>
      </c>
    </row>
    <row r="314" spans="1:12" x14ac:dyDescent="0.2">
      <c r="A314" s="88">
        <v>45993</v>
      </c>
      <c r="B314" s="70" t="s">
        <v>312</v>
      </c>
      <c r="C314" s="70" t="s">
        <v>773</v>
      </c>
      <c r="D314" s="70">
        <v>1163</v>
      </c>
      <c r="E314" s="264">
        <v>45989</v>
      </c>
      <c r="F314" s="97">
        <v>660</v>
      </c>
      <c r="G314" s="97">
        <v>110</v>
      </c>
      <c r="H314" s="70">
        <v>375930664</v>
      </c>
      <c r="I314" s="66">
        <v>660</v>
      </c>
      <c r="J314" s="66">
        <v>110</v>
      </c>
      <c r="K314" s="66">
        <f t="shared" si="2"/>
        <v>0</v>
      </c>
      <c r="L314" s="66">
        <f t="shared" si="1"/>
        <v>0</v>
      </c>
    </row>
    <row r="315" spans="1:12" x14ac:dyDescent="0.2">
      <c r="A315" s="88">
        <v>46006</v>
      </c>
      <c r="B315" s="70" t="s">
        <v>328</v>
      </c>
      <c r="C315" s="70" t="s">
        <v>784</v>
      </c>
      <c r="D315" s="70" t="s">
        <v>249</v>
      </c>
      <c r="E315" s="264">
        <v>45982</v>
      </c>
      <c r="F315" s="97">
        <v>9.69</v>
      </c>
      <c r="G315" s="97">
        <v>1.61</v>
      </c>
      <c r="H315" s="70">
        <v>755163721</v>
      </c>
      <c r="I315" s="66">
        <v>9.69</v>
      </c>
      <c r="J315" s="66">
        <v>1.61</v>
      </c>
      <c r="K315" s="66">
        <f t="shared" si="2"/>
        <v>0</v>
      </c>
      <c r="L315" s="66">
        <f t="shared" si="1"/>
        <v>0</v>
      </c>
    </row>
    <row r="316" spans="1:12" x14ac:dyDescent="0.2">
      <c r="A316" s="88">
        <v>46006</v>
      </c>
      <c r="B316" s="70" t="s">
        <v>328</v>
      </c>
      <c r="C316" s="70" t="s">
        <v>785</v>
      </c>
      <c r="D316" s="70" t="s">
        <v>820</v>
      </c>
      <c r="E316" s="264">
        <v>46001</v>
      </c>
      <c r="F316" s="97">
        <v>75.180000000000007</v>
      </c>
      <c r="G316" s="97">
        <v>12.53</v>
      </c>
      <c r="H316" s="70">
        <v>887750270</v>
      </c>
      <c r="I316" s="66">
        <v>75.180000000000007</v>
      </c>
      <c r="J316" s="66">
        <v>12.53</v>
      </c>
      <c r="K316" s="66">
        <f t="shared" si="2"/>
        <v>0</v>
      </c>
      <c r="L316" s="66">
        <f t="shared" si="1"/>
        <v>0</v>
      </c>
    </row>
    <row r="317" spans="1:12" x14ac:dyDescent="0.2">
      <c r="A317" s="88">
        <v>46006</v>
      </c>
      <c r="B317" s="70" t="s">
        <v>485</v>
      </c>
      <c r="C317" s="70" t="s">
        <v>786</v>
      </c>
      <c r="D317" s="70">
        <v>1720</v>
      </c>
      <c r="E317" s="264">
        <v>45981</v>
      </c>
      <c r="F317" s="97">
        <v>273</v>
      </c>
      <c r="G317" s="97">
        <v>45.5</v>
      </c>
      <c r="H317" s="70" t="s">
        <v>822</v>
      </c>
      <c r="I317" s="66">
        <v>273</v>
      </c>
      <c r="J317" s="66">
        <v>45.5</v>
      </c>
      <c r="K317" s="66">
        <f t="shared" si="2"/>
        <v>0</v>
      </c>
      <c r="L317" s="66">
        <f t="shared" si="1"/>
        <v>0</v>
      </c>
    </row>
    <row r="318" spans="1:12" x14ac:dyDescent="0.2">
      <c r="A318" s="88"/>
      <c r="B318" s="70"/>
      <c r="C318" s="70"/>
      <c r="D318" s="70"/>
      <c r="E318" s="260"/>
      <c r="F318" s="97"/>
      <c r="G318" s="97"/>
      <c r="H318" s="70"/>
      <c r="K318" s="66">
        <f>SUM(K276:K317)</f>
        <v>0</v>
      </c>
      <c r="L318" s="66">
        <f>SUM(L276:L317)</f>
        <v>-7.8399999999999981</v>
      </c>
    </row>
    <row r="320" spans="1:12" x14ac:dyDescent="0.2">
      <c r="F320" s="66">
        <f>SUM(F276:F317)</f>
        <v>12431.109999999999</v>
      </c>
      <c r="G320" s="66">
        <f>SUM(G276:G317)</f>
        <v>1988.7899999999997</v>
      </c>
    </row>
    <row r="321" spans="1:8" x14ac:dyDescent="0.2">
      <c r="E321" s="265" t="s">
        <v>830</v>
      </c>
      <c r="F321" s="66">
        <v>12423.27</v>
      </c>
      <c r="G321" s="66">
        <v>1988.79</v>
      </c>
    </row>
    <row r="322" spans="1:8" x14ac:dyDescent="0.2">
      <c r="F322" s="66">
        <f>F320-F321</f>
        <v>7.8399999999983265</v>
      </c>
    </row>
    <row r="324" spans="1:8" x14ac:dyDescent="0.2">
      <c r="B324" s="123" t="s">
        <v>944</v>
      </c>
    </row>
    <row r="325" spans="1:8" ht="48" x14ac:dyDescent="0.2">
      <c r="A325" s="65" t="s">
        <v>607</v>
      </c>
      <c r="B325" s="63" t="s">
        <v>101</v>
      </c>
      <c r="C325" s="63" t="s">
        <v>107</v>
      </c>
      <c r="D325" s="63" t="s">
        <v>82</v>
      </c>
      <c r="E325" s="263" t="s">
        <v>111</v>
      </c>
      <c r="F325" s="64" t="s">
        <v>112</v>
      </c>
      <c r="G325" s="64" t="s">
        <v>108</v>
      </c>
      <c r="H325" s="63" t="s">
        <v>109</v>
      </c>
    </row>
    <row r="326" spans="1:8" x14ac:dyDescent="0.2">
      <c r="A326" s="88">
        <v>46027</v>
      </c>
      <c r="B326" s="70" t="s">
        <v>790</v>
      </c>
      <c r="C326" s="70" t="s">
        <v>791</v>
      </c>
      <c r="D326" s="260">
        <v>9342</v>
      </c>
      <c r="E326" s="88">
        <v>46013</v>
      </c>
      <c r="F326" s="97">
        <v>427.2</v>
      </c>
      <c r="G326" s="97">
        <v>71.2</v>
      </c>
      <c r="H326" s="70">
        <v>582552525</v>
      </c>
    </row>
    <row r="327" spans="1:8" x14ac:dyDescent="0.2">
      <c r="A327" s="88">
        <v>46042</v>
      </c>
      <c r="B327" s="70" t="s">
        <v>859</v>
      </c>
      <c r="C327" s="70" t="s">
        <v>860</v>
      </c>
      <c r="D327" s="260">
        <v>9068</v>
      </c>
      <c r="E327" s="88">
        <v>46037</v>
      </c>
      <c r="F327" s="97">
        <v>45.6</v>
      </c>
      <c r="G327" s="97">
        <v>7.6</v>
      </c>
      <c r="H327" s="70">
        <v>665048328</v>
      </c>
    </row>
    <row r="328" spans="1:8" x14ac:dyDescent="0.2">
      <c r="A328" s="88">
        <v>46058</v>
      </c>
      <c r="B328" s="70" t="s">
        <v>790</v>
      </c>
      <c r="C328" s="70" t="s">
        <v>862</v>
      </c>
      <c r="D328" s="260">
        <v>9363</v>
      </c>
      <c r="E328" s="88">
        <v>46056</v>
      </c>
      <c r="F328" s="97">
        <v>1384.8</v>
      </c>
      <c r="G328" s="97">
        <v>230.8</v>
      </c>
      <c r="H328" s="70">
        <v>582552525</v>
      </c>
    </row>
    <row r="329" spans="1:8" x14ac:dyDescent="0.2">
      <c r="A329" s="88">
        <v>46058</v>
      </c>
      <c r="B329" s="70" t="s">
        <v>863</v>
      </c>
      <c r="C329" s="70" t="s">
        <v>864</v>
      </c>
      <c r="D329" s="260">
        <v>2092</v>
      </c>
      <c r="E329" s="88">
        <v>46050</v>
      </c>
      <c r="F329" s="97">
        <v>48</v>
      </c>
      <c r="G329" s="97">
        <v>8</v>
      </c>
      <c r="H329" s="70" t="s">
        <v>946</v>
      </c>
    </row>
    <row r="330" spans="1:8" x14ac:dyDescent="0.2">
      <c r="A330" s="88">
        <v>46077</v>
      </c>
      <c r="B330" s="70" t="s">
        <v>863</v>
      </c>
      <c r="C330" s="70" t="s">
        <v>864</v>
      </c>
      <c r="D330" s="260">
        <v>2119</v>
      </c>
      <c r="E330" s="88">
        <v>46076</v>
      </c>
      <c r="F330" s="97">
        <v>36</v>
      </c>
      <c r="G330" s="97">
        <v>6</v>
      </c>
      <c r="H330" s="70" t="s">
        <v>946</v>
      </c>
    </row>
    <row r="331" spans="1:8" x14ac:dyDescent="0.2">
      <c r="A331" s="88">
        <v>46090</v>
      </c>
      <c r="B331" s="70" t="s">
        <v>541</v>
      </c>
      <c r="C331" s="70" t="s">
        <v>876</v>
      </c>
      <c r="D331" s="260" t="s">
        <v>877</v>
      </c>
      <c r="E331" s="88">
        <v>46069</v>
      </c>
      <c r="F331" s="97">
        <v>146.68</v>
      </c>
      <c r="G331" s="97">
        <v>24.45</v>
      </c>
      <c r="H331" s="70">
        <v>916190822</v>
      </c>
    </row>
    <row r="332" spans="1:8" x14ac:dyDescent="0.2">
      <c r="A332" s="88">
        <v>46097</v>
      </c>
      <c r="B332" s="70" t="s">
        <v>328</v>
      </c>
      <c r="C332" s="70" t="s">
        <v>884</v>
      </c>
      <c r="D332" s="233" t="s">
        <v>945</v>
      </c>
      <c r="E332" s="88">
        <v>46054</v>
      </c>
      <c r="F332" s="97">
        <v>5.96</v>
      </c>
      <c r="G332" s="97">
        <v>0.99</v>
      </c>
      <c r="H332" s="70" t="s">
        <v>110</v>
      </c>
    </row>
    <row r="333" spans="1:8" x14ac:dyDescent="0.2">
      <c r="A333" s="88">
        <v>46097</v>
      </c>
      <c r="B333" s="70" t="s">
        <v>528</v>
      </c>
      <c r="C333" s="70" t="s">
        <v>885</v>
      </c>
      <c r="D333" s="233" t="s">
        <v>249</v>
      </c>
      <c r="E333" s="88">
        <v>46067</v>
      </c>
      <c r="F333" s="97">
        <v>5.99</v>
      </c>
      <c r="G333" s="97">
        <v>1</v>
      </c>
      <c r="H333" s="70">
        <v>382808430</v>
      </c>
    </row>
    <row r="334" spans="1:8" x14ac:dyDescent="0.2">
      <c r="A334" s="88">
        <v>46100</v>
      </c>
      <c r="B334" s="70" t="s">
        <v>93</v>
      </c>
      <c r="C334" s="70" t="s">
        <v>914</v>
      </c>
      <c r="D334" s="260">
        <v>603601499</v>
      </c>
      <c r="E334" s="88">
        <v>46112</v>
      </c>
      <c r="F334" s="97">
        <v>494.2</v>
      </c>
      <c r="G334" s="97">
        <v>82.36</v>
      </c>
      <c r="H334" s="70">
        <v>193548138</v>
      </c>
    </row>
    <row r="335" spans="1:8" x14ac:dyDescent="0.2">
      <c r="A335" s="88">
        <v>46125</v>
      </c>
      <c r="B335" s="70" t="s">
        <v>922</v>
      </c>
      <c r="C335" s="70" t="s">
        <v>920</v>
      </c>
      <c r="D335" s="260" t="s">
        <v>921</v>
      </c>
      <c r="E335" s="88">
        <v>46099</v>
      </c>
      <c r="F335" s="97">
        <v>75.180000000000007</v>
      </c>
      <c r="G335" s="97">
        <v>12.53</v>
      </c>
      <c r="H335" s="70">
        <v>887750270</v>
      </c>
    </row>
    <row r="336" spans="1:8" x14ac:dyDescent="0.2">
      <c r="A336" s="88">
        <v>46125</v>
      </c>
      <c r="B336" s="70" t="s">
        <v>291</v>
      </c>
      <c r="C336" s="70" t="s">
        <v>923</v>
      </c>
      <c r="D336" s="260">
        <v>9429</v>
      </c>
      <c r="E336" s="88">
        <v>46108</v>
      </c>
      <c r="F336" s="97">
        <v>492</v>
      </c>
      <c r="G336" s="97">
        <v>82</v>
      </c>
      <c r="H336" s="70">
        <v>582552525</v>
      </c>
    </row>
    <row r="337" spans="1:8" x14ac:dyDescent="0.2">
      <c r="A337" s="88">
        <v>46125</v>
      </c>
      <c r="B337" s="70" t="s">
        <v>426</v>
      </c>
      <c r="C337" s="70" t="s">
        <v>926</v>
      </c>
      <c r="D337" s="260" t="s">
        <v>249</v>
      </c>
      <c r="E337" s="88">
        <v>46101</v>
      </c>
      <c r="F337" s="97">
        <v>7.99</v>
      </c>
      <c r="G337" s="97">
        <v>1.33</v>
      </c>
      <c r="H337" s="70">
        <v>262716795</v>
      </c>
    </row>
    <row r="338" spans="1:8" x14ac:dyDescent="0.2">
      <c r="A338" s="88">
        <v>46112</v>
      </c>
      <c r="B338" s="70" t="s">
        <v>577</v>
      </c>
      <c r="C338" s="70" t="s">
        <v>939</v>
      </c>
      <c r="D338" s="260">
        <v>17023</v>
      </c>
      <c r="E338" s="88">
        <v>46112</v>
      </c>
      <c r="F338" s="97">
        <v>1041.08</v>
      </c>
      <c r="G338" s="97">
        <v>173.52</v>
      </c>
      <c r="H338" s="70">
        <v>321943962</v>
      </c>
    </row>
    <row r="339" spans="1:8" x14ac:dyDescent="0.2">
      <c r="A339" s="88"/>
      <c r="B339" s="70"/>
      <c r="C339" s="70"/>
      <c r="D339" s="70"/>
      <c r="E339" s="70"/>
      <c r="F339" s="97"/>
      <c r="G339" s="97"/>
      <c r="H339" s="70"/>
    </row>
    <row r="340" spans="1:8" x14ac:dyDescent="0.2">
      <c r="A340" s="88"/>
      <c r="B340" s="70"/>
      <c r="C340" s="70"/>
      <c r="D340" s="70"/>
      <c r="E340" s="70"/>
      <c r="F340" s="97">
        <f>SUM(F326:F338)</f>
        <v>4210.6799999999985</v>
      </c>
      <c r="G340" s="97">
        <f>SUM(G326:G338)</f>
        <v>701.78000000000009</v>
      </c>
      <c r="H340" s="70"/>
    </row>
  </sheetData>
  <autoFilter ref="A275:H317"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233"/>
  <sheetViews>
    <sheetView zoomScale="131" zoomScaleNormal="140" workbookViewId="0">
      <pane xSplit="1" ySplit="4" topLeftCell="B214" activePane="bottomRight" state="frozen"/>
      <selection activeCell="F66" sqref="F66"/>
      <selection pane="topRight" activeCell="F66" sqref="F66"/>
      <selection pane="bottomLeft" activeCell="F66" sqref="F66"/>
      <selection pane="bottomRight" activeCell="H225" sqref="H225"/>
    </sheetView>
  </sheetViews>
  <sheetFormatPr baseColWidth="10" defaultColWidth="10.5" defaultRowHeight="13" x14ac:dyDescent="0.2"/>
  <cols>
    <col min="1" max="1" width="13.5" style="192" customWidth="1"/>
    <col min="2" max="2" width="27.6640625" style="193" customWidth="1"/>
    <col min="3" max="3" width="27.83203125" style="251" customWidth="1"/>
    <col min="4" max="4" width="12" style="237" customWidth="1"/>
    <col min="5" max="5" width="5.6640625" style="194" customWidth="1"/>
    <col min="6" max="6" width="19" style="193" customWidth="1"/>
    <col min="7" max="7" width="11.33203125" style="193" customWidth="1"/>
    <col min="8" max="8" width="12" style="350" customWidth="1"/>
    <col min="9" max="9" width="12" style="351" customWidth="1"/>
    <col min="10" max="10" width="1.83203125" style="195" customWidth="1"/>
    <col min="11" max="13" width="11.5" style="196" customWidth="1"/>
    <col min="14" max="14" width="13.33203125" style="197" customWidth="1"/>
    <col min="15" max="15" width="5.1640625" style="195" customWidth="1"/>
    <col min="16" max="16" width="14.83203125" style="195" customWidth="1"/>
    <col min="17" max="17" width="29.6640625" style="195" customWidth="1"/>
    <col min="18" max="18" width="14.6640625" style="193" customWidth="1"/>
    <col min="19" max="20" width="12" style="193" customWidth="1"/>
    <col min="21" max="228" width="10.6640625" style="193" customWidth="1"/>
    <col min="229" max="16384" width="10.5" style="193"/>
  </cols>
  <sheetData>
    <row r="1" spans="1:17" x14ac:dyDescent="0.2">
      <c r="A1" s="192" t="s">
        <v>115</v>
      </c>
      <c r="D1" s="237" t="s">
        <v>76</v>
      </c>
      <c r="G1" s="193" t="s">
        <v>77</v>
      </c>
      <c r="I1" s="351" t="s">
        <v>78</v>
      </c>
    </row>
    <row r="2" spans="1:17" x14ac:dyDescent="0.2">
      <c r="A2" s="192" t="s">
        <v>115</v>
      </c>
    </row>
    <row r="3" spans="1:17" x14ac:dyDescent="0.2">
      <c r="A3" s="192" t="s">
        <v>115</v>
      </c>
      <c r="H3" s="350" t="s">
        <v>79</v>
      </c>
      <c r="N3" s="197" t="s">
        <v>80</v>
      </c>
    </row>
    <row r="4" spans="1:17" s="198" customFormat="1" ht="42" x14ac:dyDescent="0.2">
      <c r="A4" s="192" t="s">
        <v>81</v>
      </c>
      <c r="B4" s="198" t="s">
        <v>101</v>
      </c>
      <c r="C4" s="199" t="s">
        <v>102</v>
      </c>
      <c r="D4" s="237" t="s">
        <v>82</v>
      </c>
      <c r="E4" s="207" t="s">
        <v>105</v>
      </c>
      <c r="F4" s="198" t="s">
        <v>83</v>
      </c>
      <c r="G4" s="198" t="s">
        <v>84</v>
      </c>
      <c r="H4" s="352" t="s">
        <v>85</v>
      </c>
      <c r="I4" s="353" t="s">
        <v>86</v>
      </c>
      <c r="J4" s="200"/>
      <c r="K4" s="201" t="s">
        <v>87</v>
      </c>
      <c r="L4" s="202" t="s">
        <v>88</v>
      </c>
      <c r="M4" s="201" t="s">
        <v>89</v>
      </c>
      <c r="N4" s="203" t="s">
        <v>90</v>
      </c>
      <c r="O4" s="200" t="s">
        <v>91</v>
      </c>
      <c r="P4" s="204" t="s">
        <v>92</v>
      </c>
      <c r="Q4" s="200"/>
    </row>
    <row r="5" spans="1:17" s="198" customFormat="1" x14ac:dyDescent="0.2">
      <c r="A5" s="205" t="s">
        <v>617</v>
      </c>
      <c r="B5" s="206" t="s">
        <v>618</v>
      </c>
      <c r="C5" s="199"/>
      <c r="D5" s="237"/>
      <c r="E5" s="207"/>
      <c r="H5" s="352"/>
      <c r="I5" s="353"/>
      <c r="J5" s="200"/>
      <c r="K5" s="201"/>
      <c r="L5" s="202"/>
      <c r="M5" s="201"/>
      <c r="N5" s="203"/>
      <c r="O5" s="200"/>
      <c r="P5" s="208">
        <v>16548.22</v>
      </c>
      <c r="Q5" s="192" t="s">
        <v>619</v>
      </c>
    </row>
    <row r="6" spans="1:17" s="198" customFormat="1" ht="28" x14ac:dyDescent="0.15">
      <c r="A6" s="209">
        <v>45751</v>
      </c>
      <c r="B6" s="210" t="s">
        <v>119</v>
      </c>
      <c r="C6" s="252" t="s">
        <v>552</v>
      </c>
      <c r="D6" s="238" t="s">
        <v>249</v>
      </c>
      <c r="E6" s="190" t="s">
        <v>106</v>
      </c>
      <c r="F6" s="210"/>
      <c r="G6" s="210" t="s">
        <v>9</v>
      </c>
      <c r="H6" s="354">
        <v>135</v>
      </c>
      <c r="I6" s="355"/>
      <c r="J6" s="200"/>
      <c r="K6" s="211">
        <f t="shared" ref="K6:K13" si="0">I6</f>
        <v>0</v>
      </c>
      <c r="L6" s="211">
        <v>0</v>
      </c>
      <c r="M6" s="211">
        <f t="shared" ref="M6:M14" si="1">K6-L6</f>
        <v>0</v>
      </c>
      <c r="N6" s="212">
        <v>135</v>
      </c>
      <c r="O6" s="200"/>
      <c r="P6" s="213">
        <f>P5+N6</f>
        <v>16683.22</v>
      </c>
      <c r="Q6" s="192"/>
    </row>
    <row r="7" spans="1:17" s="198" customFormat="1" ht="14" x14ac:dyDescent="0.2">
      <c r="A7" s="191">
        <v>45755</v>
      </c>
      <c r="B7" s="189" t="s">
        <v>591</v>
      </c>
      <c r="C7" s="253" t="s">
        <v>592</v>
      </c>
      <c r="D7" s="233">
        <v>603359682</v>
      </c>
      <c r="E7" s="214" t="s">
        <v>106</v>
      </c>
      <c r="F7" s="11" t="s">
        <v>621</v>
      </c>
      <c r="G7" s="189" t="s">
        <v>60</v>
      </c>
      <c r="H7" s="356"/>
      <c r="I7" s="357">
        <v>474.24</v>
      </c>
      <c r="J7" s="200"/>
      <c r="K7" s="211">
        <f t="shared" si="0"/>
        <v>474.24</v>
      </c>
      <c r="L7" s="211">
        <v>79.040000000000006</v>
      </c>
      <c r="M7" s="211">
        <f t="shared" si="1"/>
        <v>395.2</v>
      </c>
      <c r="N7" s="212">
        <v>-474.24</v>
      </c>
      <c r="O7" s="200"/>
      <c r="P7" s="213">
        <f t="shared" ref="P7:P23" si="2">P6+N7</f>
        <v>16208.980000000001</v>
      </c>
      <c r="Q7" s="192"/>
    </row>
    <row r="8" spans="1:17" s="198" customFormat="1" ht="14" x14ac:dyDescent="0.2">
      <c r="A8" s="191">
        <v>45758</v>
      </c>
      <c r="B8" s="189" t="s">
        <v>119</v>
      </c>
      <c r="C8" s="253" t="s">
        <v>590</v>
      </c>
      <c r="D8" s="233" t="s">
        <v>239</v>
      </c>
      <c r="E8" s="214" t="s">
        <v>106</v>
      </c>
      <c r="F8" s="215"/>
      <c r="G8" s="189" t="s">
        <v>9</v>
      </c>
      <c r="H8" s="358">
        <v>250</v>
      </c>
      <c r="I8" s="357"/>
      <c r="J8" s="200"/>
      <c r="K8" s="211">
        <f t="shared" si="0"/>
        <v>0</v>
      </c>
      <c r="L8" s="211">
        <v>0</v>
      </c>
      <c r="M8" s="211">
        <f t="shared" si="1"/>
        <v>0</v>
      </c>
      <c r="N8" s="212">
        <v>250</v>
      </c>
      <c r="O8" s="200"/>
      <c r="P8" s="213">
        <f t="shared" si="2"/>
        <v>16458.980000000003</v>
      </c>
      <c r="Q8" s="192"/>
    </row>
    <row r="9" spans="1:17" s="198" customFormat="1" ht="14" x14ac:dyDescent="0.2">
      <c r="A9" s="191">
        <v>45762</v>
      </c>
      <c r="B9" s="189" t="s">
        <v>565</v>
      </c>
      <c r="C9" s="253" t="s">
        <v>378</v>
      </c>
      <c r="D9" s="233"/>
      <c r="E9" s="214"/>
      <c r="F9" s="215"/>
      <c r="G9" s="189" t="s">
        <v>13</v>
      </c>
      <c r="H9" s="356"/>
      <c r="I9" s="357">
        <v>72.8</v>
      </c>
      <c r="J9" s="200"/>
      <c r="K9" s="211">
        <f t="shared" si="0"/>
        <v>72.8</v>
      </c>
      <c r="L9" s="211">
        <v>0</v>
      </c>
      <c r="M9" s="211">
        <f t="shared" si="1"/>
        <v>72.8</v>
      </c>
      <c r="N9" s="212">
        <v>-104</v>
      </c>
      <c r="O9" s="200"/>
      <c r="P9" s="213">
        <f t="shared" si="2"/>
        <v>16354.980000000003</v>
      </c>
      <c r="Q9" s="192"/>
    </row>
    <row r="10" spans="1:17" s="198" customFormat="1" ht="14" x14ac:dyDescent="0.2">
      <c r="A10" s="191">
        <v>45762</v>
      </c>
      <c r="B10" s="189" t="s">
        <v>566</v>
      </c>
      <c r="C10" s="253" t="s">
        <v>378</v>
      </c>
      <c r="D10" s="233"/>
      <c r="E10" s="214"/>
      <c r="F10" s="215"/>
      <c r="G10" s="189" t="s">
        <v>13</v>
      </c>
      <c r="H10" s="356"/>
      <c r="I10" s="357">
        <v>291.2</v>
      </c>
      <c r="J10" s="200"/>
      <c r="K10" s="211">
        <f t="shared" si="0"/>
        <v>291.2</v>
      </c>
      <c r="L10" s="211">
        <v>0</v>
      </c>
      <c r="M10" s="211">
        <f t="shared" si="1"/>
        <v>291.2</v>
      </c>
      <c r="N10" s="212">
        <v>-430.63</v>
      </c>
      <c r="O10" s="200"/>
      <c r="P10" s="213">
        <f t="shared" si="2"/>
        <v>15924.350000000004</v>
      </c>
      <c r="Q10" s="192"/>
    </row>
    <row r="11" spans="1:17" s="198" customFormat="1" ht="14" x14ac:dyDescent="0.2">
      <c r="A11" s="191">
        <v>45762</v>
      </c>
      <c r="B11" s="167" t="s">
        <v>567</v>
      </c>
      <c r="C11" s="253" t="s">
        <v>379</v>
      </c>
      <c r="D11" s="233"/>
      <c r="E11" s="190"/>
      <c r="F11" s="189"/>
      <c r="G11" s="189" t="s">
        <v>19</v>
      </c>
      <c r="H11" s="356"/>
      <c r="I11" s="357">
        <v>14.63</v>
      </c>
      <c r="J11" s="200"/>
      <c r="K11" s="211">
        <f t="shared" si="0"/>
        <v>14.63</v>
      </c>
      <c r="L11" s="211">
        <v>0</v>
      </c>
      <c r="M11" s="211">
        <f t="shared" si="1"/>
        <v>14.63</v>
      </c>
      <c r="N11" s="212"/>
      <c r="O11" s="200"/>
      <c r="P11" s="213">
        <f t="shared" si="2"/>
        <v>15924.350000000004</v>
      </c>
      <c r="Q11" s="192"/>
    </row>
    <row r="12" spans="1:17" s="198" customFormat="1" ht="14" x14ac:dyDescent="0.2">
      <c r="A12" s="191">
        <v>45762</v>
      </c>
      <c r="B12" s="167" t="s">
        <v>568</v>
      </c>
      <c r="C12" s="253" t="s">
        <v>467</v>
      </c>
      <c r="D12" s="233"/>
      <c r="E12" s="190"/>
      <c r="F12" s="189"/>
      <c r="G12" s="189" t="s">
        <v>17</v>
      </c>
      <c r="H12" s="356"/>
      <c r="I12" s="357">
        <v>31.2</v>
      </c>
      <c r="J12" s="200"/>
      <c r="K12" s="211">
        <f t="shared" si="0"/>
        <v>31.2</v>
      </c>
      <c r="L12" s="211">
        <v>0</v>
      </c>
      <c r="M12" s="211">
        <f t="shared" si="1"/>
        <v>31.2</v>
      </c>
      <c r="N12" s="212"/>
      <c r="O12" s="200"/>
      <c r="P12" s="213">
        <f t="shared" si="2"/>
        <v>15924.350000000004</v>
      </c>
      <c r="Q12" s="192"/>
    </row>
    <row r="13" spans="1:17" s="198" customFormat="1" ht="14" x14ac:dyDescent="0.2">
      <c r="A13" s="191">
        <v>45762</v>
      </c>
      <c r="B13" s="167" t="s">
        <v>569</v>
      </c>
      <c r="C13" s="253" t="s">
        <v>467</v>
      </c>
      <c r="D13" s="233"/>
      <c r="E13" s="190"/>
      <c r="F13" s="189"/>
      <c r="G13" s="189" t="s">
        <v>17</v>
      </c>
      <c r="H13" s="356"/>
      <c r="I13" s="357">
        <v>124.8</v>
      </c>
      <c r="J13" s="200"/>
      <c r="K13" s="211">
        <f t="shared" si="0"/>
        <v>124.8</v>
      </c>
      <c r="L13" s="211">
        <v>0</v>
      </c>
      <c r="M13" s="211">
        <f t="shared" si="1"/>
        <v>124.8</v>
      </c>
      <c r="N13" s="212"/>
      <c r="O13" s="200"/>
      <c r="P13" s="213">
        <f t="shared" si="2"/>
        <v>15924.350000000004</v>
      </c>
      <c r="Q13" s="192"/>
    </row>
    <row r="14" spans="1:17" ht="14" x14ac:dyDescent="0.2">
      <c r="A14" s="191">
        <v>45769</v>
      </c>
      <c r="B14" s="167" t="s">
        <v>134</v>
      </c>
      <c r="C14" s="253" t="s">
        <v>570</v>
      </c>
      <c r="D14" s="233" t="s">
        <v>583</v>
      </c>
      <c r="E14" s="190" t="s">
        <v>106</v>
      </c>
      <c r="F14" s="11" t="s">
        <v>621</v>
      </c>
      <c r="G14" s="189" t="s">
        <v>61</v>
      </c>
      <c r="H14" s="356"/>
      <c r="I14" s="357">
        <v>9.89</v>
      </c>
      <c r="J14" s="216"/>
      <c r="K14" s="211">
        <f t="shared" ref="K14:K16" si="3">I14</f>
        <v>9.89</v>
      </c>
      <c r="L14" s="211">
        <v>1.65</v>
      </c>
      <c r="M14" s="211">
        <f t="shared" si="1"/>
        <v>8.24</v>
      </c>
      <c r="N14" s="212">
        <v>-27.93</v>
      </c>
      <c r="O14" s="212"/>
      <c r="P14" s="213">
        <f t="shared" si="2"/>
        <v>15896.420000000004</v>
      </c>
      <c r="Q14" s="217"/>
    </row>
    <row r="15" spans="1:17" ht="14" x14ac:dyDescent="0.2">
      <c r="A15" s="191">
        <v>45769</v>
      </c>
      <c r="B15" s="167" t="s">
        <v>134</v>
      </c>
      <c r="C15" s="253" t="s">
        <v>571</v>
      </c>
      <c r="D15" s="233" t="s">
        <v>584</v>
      </c>
      <c r="E15" s="190" t="s">
        <v>106</v>
      </c>
      <c r="F15" s="11" t="s">
        <v>621</v>
      </c>
      <c r="G15" s="189" t="s">
        <v>61</v>
      </c>
      <c r="H15" s="356"/>
      <c r="I15" s="357">
        <v>18.04</v>
      </c>
      <c r="J15" s="216"/>
      <c r="K15" s="211">
        <f t="shared" si="3"/>
        <v>18.04</v>
      </c>
      <c r="L15" s="211">
        <v>3</v>
      </c>
      <c r="M15" s="211">
        <f>K15-L14</f>
        <v>16.39</v>
      </c>
      <c r="N15" s="212"/>
      <c r="O15" s="212"/>
      <c r="P15" s="213">
        <f t="shared" si="2"/>
        <v>15896.420000000004</v>
      </c>
      <c r="Q15" s="217"/>
    </row>
    <row r="16" spans="1:17" ht="14" x14ac:dyDescent="0.2">
      <c r="A16" s="191">
        <v>45769</v>
      </c>
      <c r="B16" s="166" t="s">
        <v>95</v>
      </c>
      <c r="C16" s="253" t="s">
        <v>572</v>
      </c>
      <c r="D16" s="233" t="s">
        <v>249</v>
      </c>
      <c r="E16" s="190" t="s">
        <v>106</v>
      </c>
      <c r="F16" s="189"/>
      <c r="G16" s="189" t="s">
        <v>19</v>
      </c>
      <c r="H16" s="356"/>
      <c r="I16" s="357">
        <v>42.5</v>
      </c>
      <c r="J16" s="216"/>
      <c r="K16" s="211">
        <f t="shared" si="3"/>
        <v>42.5</v>
      </c>
      <c r="L16" s="211">
        <v>0</v>
      </c>
      <c r="M16" s="211">
        <f>K16-L15</f>
        <v>39.5</v>
      </c>
      <c r="N16" s="212">
        <v>-54.46</v>
      </c>
      <c r="O16" s="212"/>
      <c r="P16" s="213">
        <f t="shared" si="2"/>
        <v>15841.960000000005</v>
      </c>
      <c r="Q16" s="217"/>
    </row>
    <row r="17" spans="1:17" ht="14" x14ac:dyDescent="0.2">
      <c r="A17" s="191">
        <v>45769</v>
      </c>
      <c r="B17" s="166" t="s">
        <v>95</v>
      </c>
      <c r="C17" s="254" t="s">
        <v>573</v>
      </c>
      <c r="D17" s="233" t="s">
        <v>585</v>
      </c>
      <c r="E17" s="190" t="s">
        <v>106</v>
      </c>
      <c r="F17" s="189"/>
      <c r="G17" s="189" t="s">
        <v>19</v>
      </c>
      <c r="H17" s="356"/>
      <c r="I17" s="357">
        <v>11.96</v>
      </c>
      <c r="J17" s="216"/>
      <c r="K17" s="211">
        <f t="shared" ref="K17:K22" si="4">I17</f>
        <v>11.96</v>
      </c>
      <c r="L17" s="211">
        <v>0</v>
      </c>
      <c r="M17" s="211">
        <f t="shared" ref="M17:M22" si="5">K17-L17</f>
        <v>11.96</v>
      </c>
      <c r="N17" s="212"/>
      <c r="O17" s="212"/>
      <c r="P17" s="213">
        <f t="shared" si="2"/>
        <v>15841.960000000005</v>
      </c>
      <c r="Q17" s="217"/>
    </row>
    <row r="18" spans="1:17" ht="28" x14ac:dyDescent="0.2">
      <c r="A18" s="191">
        <v>45769</v>
      </c>
      <c r="B18" s="166" t="s">
        <v>255</v>
      </c>
      <c r="C18" s="254" t="s">
        <v>574</v>
      </c>
      <c r="D18" s="233" t="s">
        <v>249</v>
      </c>
      <c r="E18" s="190" t="s">
        <v>106</v>
      </c>
      <c r="F18" s="189"/>
      <c r="G18" s="189" t="s">
        <v>477</v>
      </c>
      <c r="H18" s="356"/>
      <c r="I18" s="357">
        <v>54.84</v>
      </c>
      <c r="J18" s="216"/>
      <c r="K18" s="211">
        <f t="shared" si="4"/>
        <v>54.84</v>
      </c>
      <c r="L18" s="211">
        <v>0</v>
      </c>
      <c r="M18" s="211">
        <f t="shared" si="5"/>
        <v>54.84</v>
      </c>
      <c r="N18" s="212">
        <v>-54.84</v>
      </c>
      <c r="O18" s="212"/>
      <c r="P18" s="213">
        <f t="shared" si="2"/>
        <v>15787.120000000004</v>
      </c>
      <c r="Q18" s="217"/>
    </row>
    <row r="19" spans="1:17" ht="28" x14ac:dyDescent="0.2">
      <c r="A19" s="191">
        <v>45769</v>
      </c>
      <c r="B19" s="166" t="s">
        <v>426</v>
      </c>
      <c r="C19" s="254" t="s">
        <v>574</v>
      </c>
      <c r="D19" s="233" t="s">
        <v>249</v>
      </c>
      <c r="E19" s="190" t="s">
        <v>106</v>
      </c>
      <c r="F19" s="189"/>
      <c r="G19" s="189" t="s">
        <v>477</v>
      </c>
      <c r="H19" s="356"/>
      <c r="I19" s="357">
        <v>33.950000000000003</v>
      </c>
      <c r="J19" s="216"/>
      <c r="K19" s="211">
        <f t="shared" si="4"/>
        <v>33.950000000000003</v>
      </c>
      <c r="L19" s="211">
        <v>0</v>
      </c>
      <c r="M19" s="211">
        <f t="shared" si="5"/>
        <v>33.950000000000003</v>
      </c>
      <c r="N19" s="212">
        <v>-33.950000000000003</v>
      </c>
      <c r="O19" s="212"/>
      <c r="P19" s="213">
        <f t="shared" si="2"/>
        <v>15753.170000000004</v>
      </c>
      <c r="Q19" s="217"/>
    </row>
    <row r="20" spans="1:17" ht="14" x14ac:dyDescent="0.2">
      <c r="A20" s="191">
        <v>45769</v>
      </c>
      <c r="B20" s="166" t="s">
        <v>507</v>
      </c>
      <c r="C20" s="254" t="s">
        <v>575</v>
      </c>
      <c r="D20" s="233" t="s">
        <v>586</v>
      </c>
      <c r="E20" s="190" t="s">
        <v>106</v>
      </c>
      <c r="F20" s="189"/>
      <c r="G20" s="189" t="s">
        <v>477</v>
      </c>
      <c r="H20" s="356"/>
      <c r="I20" s="357">
        <v>30</v>
      </c>
      <c r="J20" s="216"/>
      <c r="K20" s="211">
        <f t="shared" si="4"/>
        <v>30</v>
      </c>
      <c r="L20" s="211">
        <v>0</v>
      </c>
      <c r="M20" s="211">
        <f t="shared" si="5"/>
        <v>30</v>
      </c>
      <c r="N20" s="212">
        <v>-30</v>
      </c>
      <c r="O20" s="212"/>
      <c r="P20" s="213">
        <f t="shared" si="2"/>
        <v>15723.170000000004</v>
      </c>
      <c r="Q20" s="217"/>
    </row>
    <row r="21" spans="1:17" ht="28" x14ac:dyDescent="0.2">
      <c r="A21" s="191">
        <v>45769</v>
      </c>
      <c r="B21" s="166" t="s">
        <v>296</v>
      </c>
      <c r="C21" s="254" t="s">
        <v>576</v>
      </c>
      <c r="D21" s="233" t="s">
        <v>587</v>
      </c>
      <c r="E21" s="190" t="s">
        <v>106</v>
      </c>
      <c r="F21" s="189"/>
      <c r="G21" s="189" t="s">
        <v>44</v>
      </c>
      <c r="H21" s="356"/>
      <c r="I21" s="357">
        <v>202.5</v>
      </c>
      <c r="J21" s="216"/>
      <c r="K21" s="211">
        <f t="shared" si="4"/>
        <v>202.5</v>
      </c>
      <c r="L21" s="211">
        <v>0</v>
      </c>
      <c r="M21" s="211">
        <f t="shared" si="5"/>
        <v>202.5</v>
      </c>
      <c r="N21" s="212">
        <v>-202.5</v>
      </c>
      <c r="O21" s="212"/>
      <c r="P21" s="213">
        <f t="shared" si="2"/>
        <v>15520.670000000004</v>
      </c>
      <c r="Q21" s="217"/>
    </row>
    <row r="22" spans="1:17" ht="14" x14ac:dyDescent="0.2">
      <c r="A22" s="191">
        <v>45769</v>
      </c>
      <c r="B22" s="166" t="s">
        <v>580</v>
      </c>
      <c r="C22" s="254" t="s">
        <v>581</v>
      </c>
      <c r="D22" s="233" t="s">
        <v>589</v>
      </c>
      <c r="E22" s="190" t="s">
        <v>106</v>
      </c>
      <c r="F22" s="11" t="s">
        <v>621</v>
      </c>
      <c r="G22" s="189" t="s">
        <v>98</v>
      </c>
      <c r="H22" s="356"/>
      <c r="I22" s="357">
        <v>333.6</v>
      </c>
      <c r="J22" s="218"/>
      <c r="K22" s="211">
        <f t="shared" si="4"/>
        <v>333.6</v>
      </c>
      <c r="L22" s="211">
        <v>55.6</v>
      </c>
      <c r="M22" s="211">
        <f t="shared" si="5"/>
        <v>278</v>
      </c>
      <c r="N22" s="212">
        <v>-333.6</v>
      </c>
      <c r="O22" s="219"/>
      <c r="P22" s="213">
        <f t="shared" si="2"/>
        <v>15187.070000000003</v>
      </c>
      <c r="Q22" s="217"/>
    </row>
    <row r="23" spans="1:17" x14ac:dyDescent="0.2">
      <c r="A23" s="220"/>
      <c r="B23" s="221"/>
      <c r="C23" s="255"/>
      <c r="D23" s="239"/>
      <c r="E23" s="222"/>
      <c r="F23" s="223"/>
      <c r="G23" s="224"/>
      <c r="H23" s="359"/>
      <c r="I23" s="349"/>
      <c r="J23" s="225"/>
      <c r="K23" s="226"/>
      <c r="L23" s="226"/>
      <c r="M23" s="227"/>
      <c r="N23" s="226"/>
      <c r="O23" s="228"/>
      <c r="P23" s="208">
        <f t="shared" si="2"/>
        <v>15187.070000000003</v>
      </c>
      <c r="Q23" s="229" t="s">
        <v>620</v>
      </c>
    </row>
    <row r="24" spans="1:17" ht="14" x14ac:dyDescent="0.2">
      <c r="A24" s="166">
        <v>45762</v>
      </c>
      <c r="B24" s="189" t="s">
        <v>119</v>
      </c>
      <c r="C24" s="253" t="s">
        <v>604</v>
      </c>
      <c r="D24" s="233" t="s">
        <v>239</v>
      </c>
      <c r="E24" s="190"/>
      <c r="F24" s="233"/>
      <c r="G24" s="189" t="s">
        <v>4</v>
      </c>
      <c r="H24" s="358">
        <v>13250</v>
      </c>
      <c r="I24" s="357">
        <v>0</v>
      </c>
      <c r="J24" s="216"/>
      <c r="K24" s="211">
        <f t="shared" ref="K24:K87" si="6">I24</f>
        <v>0</v>
      </c>
      <c r="L24" s="211">
        <v>0</v>
      </c>
      <c r="M24" s="211">
        <f t="shared" ref="M24:M35" si="7">K24-L24</f>
        <v>0</v>
      </c>
      <c r="N24" s="212">
        <v>13250</v>
      </c>
      <c r="O24" s="212"/>
      <c r="P24" s="212">
        <f>P23+N24</f>
        <v>28437.070000000003</v>
      </c>
      <c r="Q24" s="217"/>
    </row>
    <row r="25" spans="1:17" ht="14" x14ac:dyDescent="0.2">
      <c r="A25" s="166">
        <v>45769</v>
      </c>
      <c r="B25" s="166" t="s">
        <v>577</v>
      </c>
      <c r="C25" s="254" t="s">
        <v>578</v>
      </c>
      <c r="D25" s="233">
        <v>16431</v>
      </c>
      <c r="E25" s="190" t="s">
        <v>106</v>
      </c>
      <c r="F25" s="11" t="s">
        <v>621</v>
      </c>
      <c r="G25" s="189" t="s">
        <v>50</v>
      </c>
      <c r="H25" s="358"/>
      <c r="I25" s="357">
        <v>567.74</v>
      </c>
      <c r="J25" s="216"/>
      <c r="K25" s="211">
        <f t="shared" si="6"/>
        <v>567.74</v>
      </c>
      <c r="L25" s="211">
        <v>94.62</v>
      </c>
      <c r="M25" s="211">
        <f t="shared" si="7"/>
        <v>473.12</v>
      </c>
      <c r="N25" s="212">
        <v>-567.74</v>
      </c>
      <c r="O25" s="212"/>
      <c r="P25" s="212">
        <f t="shared" ref="P25:P108" si="8">P24+N25</f>
        <v>27869.33</v>
      </c>
      <c r="Q25" s="217"/>
    </row>
    <row r="26" spans="1:17" ht="28" x14ac:dyDescent="0.2">
      <c r="A26" s="166">
        <v>45769</v>
      </c>
      <c r="B26" s="166" t="s">
        <v>94</v>
      </c>
      <c r="C26" s="254" t="s">
        <v>579</v>
      </c>
      <c r="D26" s="233">
        <v>1930</v>
      </c>
      <c r="E26" s="190" t="s">
        <v>106</v>
      </c>
      <c r="F26" s="233"/>
      <c r="G26" s="189" t="s">
        <v>30</v>
      </c>
      <c r="H26" s="358"/>
      <c r="I26" s="357">
        <v>314.7</v>
      </c>
      <c r="J26" s="216"/>
      <c r="K26" s="211">
        <f t="shared" si="6"/>
        <v>314.7</v>
      </c>
      <c r="L26" s="211">
        <v>0</v>
      </c>
      <c r="M26" s="211">
        <f t="shared" si="7"/>
        <v>314.7</v>
      </c>
      <c r="N26" s="212">
        <v>-314.7</v>
      </c>
      <c r="O26" s="212"/>
      <c r="P26" s="212">
        <f t="shared" si="8"/>
        <v>27554.63</v>
      </c>
      <c r="Q26" s="217"/>
    </row>
    <row r="27" spans="1:17" ht="28" x14ac:dyDescent="0.2">
      <c r="A27" s="166">
        <v>45769</v>
      </c>
      <c r="B27" s="167" t="s">
        <v>33</v>
      </c>
      <c r="C27" s="253" t="s">
        <v>582</v>
      </c>
      <c r="D27" s="233" t="s">
        <v>588</v>
      </c>
      <c r="E27" s="190" t="s">
        <v>106</v>
      </c>
      <c r="F27" s="233"/>
      <c r="G27" s="189" t="s">
        <v>32</v>
      </c>
      <c r="H27" s="358"/>
      <c r="I27" s="357">
        <v>150</v>
      </c>
      <c r="J27" s="216"/>
      <c r="K27" s="211">
        <f t="shared" si="6"/>
        <v>150</v>
      </c>
      <c r="L27" s="211">
        <v>0</v>
      </c>
      <c r="M27" s="211">
        <f t="shared" si="7"/>
        <v>150</v>
      </c>
      <c r="N27" s="212">
        <v>-150</v>
      </c>
      <c r="O27" s="212"/>
      <c r="P27" s="212">
        <f t="shared" si="8"/>
        <v>27404.63</v>
      </c>
    </row>
    <row r="28" spans="1:17" ht="14" x14ac:dyDescent="0.2">
      <c r="A28" s="166">
        <v>45769</v>
      </c>
      <c r="B28" s="167" t="s">
        <v>545</v>
      </c>
      <c r="C28" s="253" t="s">
        <v>611</v>
      </c>
      <c r="D28" s="233">
        <v>452271923</v>
      </c>
      <c r="E28" s="190" t="s">
        <v>106</v>
      </c>
      <c r="F28" s="233"/>
      <c r="G28" s="189" t="s">
        <v>27</v>
      </c>
      <c r="H28" s="358"/>
      <c r="I28" s="357">
        <v>4.25</v>
      </c>
      <c r="J28" s="216"/>
      <c r="K28" s="211">
        <f t="shared" si="6"/>
        <v>4.25</v>
      </c>
      <c r="L28" s="211"/>
      <c r="M28" s="211">
        <f t="shared" ref="M28" si="9">K28-L28</f>
        <v>4.25</v>
      </c>
      <c r="N28" s="212">
        <v>-4.25</v>
      </c>
      <c r="O28" s="212"/>
      <c r="P28" s="212">
        <f t="shared" si="8"/>
        <v>27400.38</v>
      </c>
      <c r="Q28" s="217"/>
    </row>
    <row r="29" spans="1:17" ht="28" x14ac:dyDescent="0.2">
      <c r="A29" s="166">
        <v>45771</v>
      </c>
      <c r="B29" s="166" t="s">
        <v>96</v>
      </c>
      <c r="C29" s="254" t="s">
        <v>612</v>
      </c>
      <c r="D29" s="233">
        <v>7663658</v>
      </c>
      <c r="E29" s="190" t="s">
        <v>106</v>
      </c>
      <c r="F29" s="233"/>
      <c r="G29" s="189" t="s">
        <v>48</v>
      </c>
      <c r="H29" s="358"/>
      <c r="I29" s="357">
        <v>35.01</v>
      </c>
      <c r="J29" s="216"/>
      <c r="K29" s="211">
        <f t="shared" si="6"/>
        <v>35.01</v>
      </c>
      <c r="L29" s="211">
        <v>0</v>
      </c>
      <c r="M29" s="211">
        <f t="shared" si="7"/>
        <v>35.01</v>
      </c>
      <c r="N29" s="212">
        <v>-35.01</v>
      </c>
      <c r="O29" s="212"/>
      <c r="P29" s="212">
        <f t="shared" si="8"/>
        <v>27365.370000000003</v>
      </c>
      <c r="Q29" s="217"/>
    </row>
    <row r="30" spans="1:17" ht="14" x14ac:dyDescent="0.2">
      <c r="A30" s="166">
        <v>45772</v>
      </c>
      <c r="B30" s="189" t="s">
        <v>119</v>
      </c>
      <c r="C30" s="253" t="s">
        <v>613</v>
      </c>
      <c r="D30" s="233"/>
      <c r="E30" s="190"/>
      <c r="F30" s="233"/>
      <c r="G30" s="189" t="s">
        <v>9</v>
      </c>
      <c r="H30" s="358">
        <v>729.88</v>
      </c>
      <c r="I30" s="357">
        <v>0</v>
      </c>
      <c r="J30" s="216"/>
      <c r="K30" s="211">
        <f t="shared" si="6"/>
        <v>0</v>
      </c>
      <c r="L30" s="211">
        <v>0</v>
      </c>
      <c r="M30" s="211">
        <f t="shared" si="7"/>
        <v>0</v>
      </c>
      <c r="N30" s="212">
        <v>729.88</v>
      </c>
      <c r="O30" s="212"/>
      <c r="P30" s="212">
        <f t="shared" si="8"/>
        <v>28095.250000000004</v>
      </c>
      <c r="Q30" s="217"/>
    </row>
    <row r="31" spans="1:17" ht="14" x14ac:dyDescent="0.2">
      <c r="A31" s="166">
        <v>45777</v>
      </c>
      <c r="B31" s="189" t="s">
        <v>614</v>
      </c>
      <c r="C31" s="253" t="s">
        <v>615</v>
      </c>
      <c r="D31" s="233" t="s">
        <v>239</v>
      </c>
      <c r="E31" s="190" t="s">
        <v>106</v>
      </c>
      <c r="F31" s="233"/>
      <c r="G31" s="189" t="s">
        <v>34</v>
      </c>
      <c r="H31" s="358"/>
      <c r="I31" s="357">
        <v>100</v>
      </c>
      <c r="J31" s="216"/>
      <c r="K31" s="211">
        <f t="shared" si="6"/>
        <v>100</v>
      </c>
      <c r="L31" s="211">
        <v>0</v>
      </c>
      <c r="M31" s="211">
        <f t="shared" si="7"/>
        <v>100</v>
      </c>
      <c r="N31" s="212">
        <v>-100</v>
      </c>
      <c r="O31" s="212"/>
      <c r="P31" s="212">
        <f t="shared" si="8"/>
        <v>27995.250000000004</v>
      </c>
      <c r="Q31" s="217"/>
    </row>
    <row r="32" spans="1:17" ht="14" x14ac:dyDescent="0.2">
      <c r="A32" s="166">
        <v>45777</v>
      </c>
      <c r="B32" s="189" t="s">
        <v>485</v>
      </c>
      <c r="C32" s="253" t="s">
        <v>486</v>
      </c>
      <c r="D32" s="233" t="s">
        <v>616</v>
      </c>
      <c r="E32" s="190" t="s">
        <v>106</v>
      </c>
      <c r="F32" s="11" t="s">
        <v>831</v>
      </c>
      <c r="G32" s="189" t="s">
        <v>25</v>
      </c>
      <c r="H32" s="358"/>
      <c r="I32" s="357">
        <v>273</v>
      </c>
      <c r="J32" s="216"/>
      <c r="K32" s="211">
        <f t="shared" si="6"/>
        <v>273</v>
      </c>
      <c r="L32" s="211">
        <v>45.5</v>
      </c>
      <c r="M32" s="211">
        <f>K32-L32</f>
        <v>227.5</v>
      </c>
      <c r="N32" s="212">
        <v>-273</v>
      </c>
      <c r="O32" s="212"/>
      <c r="P32" s="212">
        <f t="shared" si="8"/>
        <v>27722.250000000004</v>
      </c>
    </row>
    <row r="33" spans="1:17" ht="14" x14ac:dyDescent="0.2">
      <c r="A33" s="166">
        <v>45790</v>
      </c>
      <c r="B33" s="189" t="s">
        <v>626</v>
      </c>
      <c r="C33" s="253" t="s">
        <v>627</v>
      </c>
      <c r="D33" s="233"/>
      <c r="E33" s="214"/>
      <c r="F33" s="215"/>
      <c r="G33" s="189" t="s">
        <v>13</v>
      </c>
      <c r="H33" s="356"/>
      <c r="I33" s="357">
        <v>73.5</v>
      </c>
      <c r="J33" s="216"/>
      <c r="K33" s="211">
        <f t="shared" si="6"/>
        <v>73.5</v>
      </c>
      <c r="L33" s="211">
        <v>0</v>
      </c>
      <c r="M33" s="211">
        <f t="shared" si="7"/>
        <v>73.5</v>
      </c>
      <c r="N33" s="212">
        <v>-105</v>
      </c>
      <c r="O33" s="212"/>
      <c r="P33" s="212">
        <f t="shared" si="8"/>
        <v>27617.250000000004</v>
      </c>
      <c r="Q33" s="217"/>
    </row>
    <row r="34" spans="1:17" ht="14" x14ac:dyDescent="0.2">
      <c r="A34" s="166">
        <v>45790</v>
      </c>
      <c r="B34" s="189" t="s">
        <v>630</v>
      </c>
      <c r="C34" s="253" t="s">
        <v>627</v>
      </c>
      <c r="D34" s="233"/>
      <c r="E34" s="214"/>
      <c r="F34" s="215"/>
      <c r="G34" s="189" t="s">
        <v>13</v>
      </c>
      <c r="H34" s="356"/>
      <c r="I34" s="357">
        <v>294.14</v>
      </c>
      <c r="J34" s="216"/>
      <c r="K34" s="211">
        <f t="shared" si="6"/>
        <v>294.14</v>
      </c>
      <c r="L34" s="211">
        <v>0</v>
      </c>
      <c r="M34" s="211">
        <f t="shared" si="7"/>
        <v>294.14</v>
      </c>
      <c r="N34" s="212">
        <v>-422.45</v>
      </c>
      <c r="O34" s="212"/>
      <c r="P34" s="212">
        <f t="shared" si="8"/>
        <v>27194.800000000003</v>
      </c>
      <c r="Q34" s="217"/>
    </row>
    <row r="35" spans="1:17" ht="14" x14ac:dyDescent="0.2">
      <c r="A35" s="166">
        <v>45790</v>
      </c>
      <c r="B35" s="167" t="s">
        <v>630</v>
      </c>
      <c r="C35" s="253" t="s">
        <v>628</v>
      </c>
      <c r="D35" s="233"/>
      <c r="E35" s="190"/>
      <c r="F35" s="189"/>
      <c r="G35" s="189" t="s">
        <v>19</v>
      </c>
      <c r="H35" s="356"/>
      <c r="I35" s="357">
        <v>2.25</v>
      </c>
      <c r="J35" s="216"/>
      <c r="K35" s="211">
        <f t="shared" si="6"/>
        <v>2.25</v>
      </c>
      <c r="L35" s="211">
        <v>0</v>
      </c>
      <c r="M35" s="211">
        <f t="shared" si="7"/>
        <v>2.25</v>
      </c>
      <c r="N35" s="212"/>
      <c r="O35" s="212"/>
      <c r="P35" s="212">
        <f t="shared" si="8"/>
        <v>27194.800000000003</v>
      </c>
      <c r="Q35" s="193"/>
    </row>
    <row r="36" spans="1:17" ht="14" x14ac:dyDescent="0.2">
      <c r="A36" s="166">
        <v>45790</v>
      </c>
      <c r="B36" s="167" t="s">
        <v>631</v>
      </c>
      <c r="C36" s="253" t="s">
        <v>629</v>
      </c>
      <c r="D36" s="233"/>
      <c r="E36" s="190"/>
      <c r="F36" s="189"/>
      <c r="G36" s="189" t="s">
        <v>17</v>
      </c>
      <c r="H36" s="356"/>
      <c r="I36" s="357">
        <v>31.5</v>
      </c>
      <c r="J36" s="216"/>
      <c r="K36" s="211">
        <f t="shared" si="6"/>
        <v>31.5</v>
      </c>
      <c r="L36" s="211">
        <v>0</v>
      </c>
      <c r="M36" s="211">
        <f t="shared" ref="M36:M76" si="10">K36-L36</f>
        <v>31.5</v>
      </c>
      <c r="N36" s="212"/>
      <c r="O36" s="212"/>
      <c r="P36" s="212">
        <f t="shared" si="8"/>
        <v>27194.800000000003</v>
      </c>
      <c r="Q36" s="193"/>
    </row>
    <row r="37" spans="1:17" ht="14" x14ac:dyDescent="0.2">
      <c r="A37" s="166">
        <v>45790</v>
      </c>
      <c r="B37" s="167" t="s">
        <v>630</v>
      </c>
      <c r="C37" s="253" t="s">
        <v>629</v>
      </c>
      <c r="D37" s="233"/>
      <c r="E37" s="190"/>
      <c r="F37" s="189"/>
      <c r="G37" s="189" t="s">
        <v>17</v>
      </c>
      <c r="H37" s="356"/>
      <c r="I37" s="357">
        <v>126.06</v>
      </c>
      <c r="J37" s="216"/>
      <c r="K37" s="211">
        <f t="shared" si="6"/>
        <v>126.06</v>
      </c>
      <c r="L37" s="211">
        <v>0</v>
      </c>
      <c r="M37" s="211">
        <f t="shared" si="10"/>
        <v>126.06</v>
      </c>
      <c r="N37" s="212"/>
      <c r="O37" s="212"/>
      <c r="P37" s="212">
        <f t="shared" si="8"/>
        <v>27194.800000000003</v>
      </c>
      <c r="Q37" s="193"/>
    </row>
    <row r="38" spans="1:17" ht="14" x14ac:dyDescent="0.2">
      <c r="A38" s="166">
        <v>45790</v>
      </c>
      <c r="B38" s="167" t="s">
        <v>577</v>
      </c>
      <c r="C38" s="253" t="s">
        <v>632</v>
      </c>
      <c r="D38" s="233">
        <v>16490</v>
      </c>
      <c r="E38" s="190" t="s">
        <v>106</v>
      </c>
      <c r="F38" s="11" t="s">
        <v>831</v>
      </c>
      <c r="G38" s="189" t="s">
        <v>50</v>
      </c>
      <c r="H38" s="356"/>
      <c r="I38" s="357">
        <v>1118.5</v>
      </c>
      <c r="J38" s="216"/>
      <c r="K38" s="211">
        <f t="shared" si="6"/>
        <v>1118.5</v>
      </c>
      <c r="L38" s="211">
        <v>186.42</v>
      </c>
      <c r="M38" s="211">
        <f t="shared" si="10"/>
        <v>932.08</v>
      </c>
      <c r="N38" s="212">
        <v>-1118.5</v>
      </c>
      <c r="O38" s="212"/>
      <c r="P38" s="212">
        <f t="shared" si="8"/>
        <v>26076.300000000003</v>
      </c>
      <c r="Q38" s="193"/>
    </row>
    <row r="39" spans="1:17" ht="14" x14ac:dyDescent="0.2">
      <c r="A39" s="166">
        <v>45790</v>
      </c>
      <c r="B39" s="167" t="s">
        <v>95</v>
      </c>
      <c r="C39" s="253" t="s">
        <v>633</v>
      </c>
      <c r="D39" s="233" t="s">
        <v>249</v>
      </c>
      <c r="E39" s="190" t="s">
        <v>106</v>
      </c>
      <c r="F39" s="11" t="s">
        <v>831</v>
      </c>
      <c r="G39" s="189" t="s">
        <v>19</v>
      </c>
      <c r="H39" s="356"/>
      <c r="I39" s="357">
        <v>73.849999999999994</v>
      </c>
      <c r="J39" s="216"/>
      <c r="K39" s="211">
        <f t="shared" si="6"/>
        <v>73.849999999999994</v>
      </c>
      <c r="L39" s="211">
        <v>9.5</v>
      </c>
      <c r="M39" s="211">
        <f t="shared" si="10"/>
        <v>64.349999999999994</v>
      </c>
      <c r="N39" s="212">
        <v>-73.849999999999994</v>
      </c>
      <c r="O39" s="212"/>
      <c r="P39" s="212">
        <f t="shared" si="8"/>
        <v>26002.450000000004</v>
      </c>
      <c r="Q39" s="193"/>
    </row>
    <row r="40" spans="1:17" ht="14" x14ac:dyDescent="0.2">
      <c r="A40" s="166">
        <v>45796</v>
      </c>
      <c r="B40" s="167" t="s">
        <v>545</v>
      </c>
      <c r="C40" s="253" t="s">
        <v>611</v>
      </c>
      <c r="D40" s="233">
        <v>454726520</v>
      </c>
      <c r="E40" s="190" t="s">
        <v>106</v>
      </c>
      <c r="F40" s="189"/>
      <c r="G40" s="189" t="s">
        <v>27</v>
      </c>
      <c r="H40" s="356"/>
      <c r="I40" s="357">
        <v>4.25</v>
      </c>
      <c r="J40" s="216"/>
      <c r="K40" s="211">
        <f t="shared" si="6"/>
        <v>4.25</v>
      </c>
      <c r="L40" s="211">
        <v>0</v>
      </c>
      <c r="M40" s="211">
        <f t="shared" si="10"/>
        <v>4.25</v>
      </c>
      <c r="N40" s="212">
        <v>-4.25</v>
      </c>
      <c r="O40" s="212"/>
      <c r="P40" s="212">
        <f t="shared" si="8"/>
        <v>25998.200000000004</v>
      </c>
      <c r="Q40" s="193"/>
    </row>
    <row r="41" spans="1:17" ht="14" x14ac:dyDescent="0.2">
      <c r="A41" s="166">
        <v>45797</v>
      </c>
      <c r="B41" s="167" t="s">
        <v>393</v>
      </c>
      <c r="C41" s="253" t="s">
        <v>394</v>
      </c>
      <c r="D41" s="233" t="s">
        <v>634</v>
      </c>
      <c r="E41" s="190" t="s">
        <v>106</v>
      </c>
      <c r="F41" s="11" t="s">
        <v>831</v>
      </c>
      <c r="G41" s="189" t="s">
        <v>19</v>
      </c>
      <c r="H41" s="356"/>
      <c r="I41" s="357">
        <v>45</v>
      </c>
      <c r="J41" s="216"/>
      <c r="K41" s="211">
        <f t="shared" si="6"/>
        <v>45</v>
      </c>
      <c r="L41" s="211">
        <v>7.5</v>
      </c>
      <c r="M41" s="211">
        <f t="shared" si="10"/>
        <v>37.5</v>
      </c>
      <c r="N41" s="212">
        <v>-45</v>
      </c>
      <c r="O41" s="212"/>
      <c r="P41" s="212">
        <f t="shared" si="8"/>
        <v>25953.200000000004</v>
      </c>
      <c r="Q41" s="193"/>
    </row>
    <row r="42" spans="1:17" ht="14" x14ac:dyDescent="0.2">
      <c r="A42" s="166">
        <v>45797</v>
      </c>
      <c r="B42" s="167" t="s">
        <v>95</v>
      </c>
      <c r="C42" s="253" t="s">
        <v>635</v>
      </c>
      <c r="D42" s="233" t="s">
        <v>647</v>
      </c>
      <c r="E42" s="190" t="s">
        <v>106</v>
      </c>
      <c r="F42" s="11" t="s">
        <v>831</v>
      </c>
      <c r="G42" s="189" t="s">
        <v>19</v>
      </c>
      <c r="H42" s="356"/>
      <c r="I42" s="357">
        <v>26.02</v>
      </c>
      <c r="J42" s="216"/>
      <c r="K42" s="211">
        <f t="shared" si="6"/>
        <v>26.02</v>
      </c>
      <c r="L42" s="211">
        <v>5.78</v>
      </c>
      <c r="M42" s="211">
        <f t="shared" si="10"/>
        <v>20.239999999999998</v>
      </c>
      <c r="N42" s="212">
        <v>-26.02</v>
      </c>
      <c r="O42" s="212"/>
      <c r="P42" s="212">
        <f t="shared" si="8"/>
        <v>25927.180000000004</v>
      </c>
      <c r="Q42" s="193"/>
    </row>
    <row r="43" spans="1:17" ht="14" x14ac:dyDescent="0.2">
      <c r="A43" s="166">
        <v>45823</v>
      </c>
      <c r="B43" s="189" t="s">
        <v>636</v>
      </c>
      <c r="C43" s="253" t="s">
        <v>639</v>
      </c>
      <c r="D43" s="233"/>
      <c r="E43" s="214"/>
      <c r="F43" s="215"/>
      <c r="G43" s="189" t="s">
        <v>13</v>
      </c>
      <c r="H43" s="356"/>
      <c r="I43" s="357">
        <v>73.5</v>
      </c>
      <c r="J43" s="216"/>
      <c r="K43" s="211">
        <f t="shared" si="6"/>
        <v>73.5</v>
      </c>
      <c r="L43" s="211">
        <v>0</v>
      </c>
      <c r="M43" s="211">
        <f t="shared" ref="M43:M47" si="11">K43-L43</f>
        <v>73.5</v>
      </c>
      <c r="N43" s="212">
        <v>-421.33</v>
      </c>
      <c r="O43" s="212"/>
      <c r="P43" s="212">
        <f t="shared" si="8"/>
        <v>25505.850000000002</v>
      </c>
      <c r="Q43" s="217"/>
    </row>
    <row r="44" spans="1:17" ht="14" x14ac:dyDescent="0.2">
      <c r="A44" s="166">
        <v>45823</v>
      </c>
      <c r="B44" s="189" t="s">
        <v>637</v>
      </c>
      <c r="C44" s="253" t="s">
        <v>639</v>
      </c>
      <c r="D44" s="233"/>
      <c r="E44" s="214"/>
      <c r="F44" s="215"/>
      <c r="G44" s="189" t="s">
        <v>13</v>
      </c>
      <c r="H44" s="356"/>
      <c r="I44" s="357">
        <v>294.14</v>
      </c>
      <c r="J44" s="216"/>
      <c r="K44" s="211">
        <f t="shared" si="6"/>
        <v>294.14</v>
      </c>
      <c r="L44" s="211">
        <v>0</v>
      </c>
      <c r="M44" s="211">
        <f t="shared" si="11"/>
        <v>294.14</v>
      </c>
      <c r="N44" s="212">
        <v>-105</v>
      </c>
      <c r="O44" s="212"/>
      <c r="P44" s="212">
        <f t="shared" si="8"/>
        <v>25400.850000000002</v>
      </c>
      <c r="Q44" s="217"/>
    </row>
    <row r="45" spans="1:17" ht="14" x14ac:dyDescent="0.2">
      <c r="A45" s="166">
        <v>45823</v>
      </c>
      <c r="B45" s="167" t="s">
        <v>637</v>
      </c>
      <c r="C45" s="253" t="s">
        <v>640</v>
      </c>
      <c r="D45" s="233"/>
      <c r="E45" s="190"/>
      <c r="F45" s="189"/>
      <c r="G45" s="189" t="s">
        <v>19</v>
      </c>
      <c r="H45" s="356"/>
      <c r="I45" s="357">
        <v>1.1299999999999999</v>
      </c>
      <c r="J45" s="216"/>
      <c r="K45" s="211">
        <f t="shared" si="6"/>
        <v>1.1299999999999999</v>
      </c>
      <c r="L45" s="211">
        <v>0</v>
      </c>
      <c r="M45" s="211">
        <f t="shared" si="11"/>
        <v>1.1299999999999999</v>
      </c>
      <c r="N45" s="212"/>
      <c r="O45" s="212"/>
      <c r="P45" s="212">
        <f t="shared" si="8"/>
        <v>25400.850000000002</v>
      </c>
      <c r="Q45" s="217"/>
    </row>
    <row r="46" spans="1:17" ht="14" x14ac:dyDescent="0.2">
      <c r="A46" s="166">
        <v>45823</v>
      </c>
      <c r="B46" s="167" t="s">
        <v>638</v>
      </c>
      <c r="C46" s="253" t="s">
        <v>641</v>
      </c>
      <c r="D46" s="233"/>
      <c r="E46" s="190"/>
      <c r="F46" s="189"/>
      <c r="G46" s="189" t="s">
        <v>17</v>
      </c>
      <c r="H46" s="356"/>
      <c r="I46" s="357">
        <v>31.5</v>
      </c>
      <c r="J46" s="216"/>
      <c r="K46" s="211">
        <f t="shared" si="6"/>
        <v>31.5</v>
      </c>
      <c r="L46" s="211">
        <v>0</v>
      </c>
      <c r="M46" s="211">
        <f t="shared" si="11"/>
        <v>31.5</v>
      </c>
      <c r="N46" s="212"/>
      <c r="O46" s="212"/>
      <c r="P46" s="212">
        <f t="shared" si="8"/>
        <v>25400.850000000002</v>
      </c>
      <c r="Q46" s="217"/>
    </row>
    <row r="47" spans="1:17" ht="14" x14ac:dyDescent="0.2">
      <c r="A47" s="166">
        <v>45823</v>
      </c>
      <c r="B47" s="167" t="s">
        <v>637</v>
      </c>
      <c r="C47" s="253" t="s">
        <v>641</v>
      </c>
      <c r="D47" s="233"/>
      <c r="E47" s="190"/>
      <c r="F47" s="189"/>
      <c r="G47" s="189" t="s">
        <v>17</v>
      </c>
      <c r="H47" s="356"/>
      <c r="I47" s="357">
        <v>126.06</v>
      </c>
      <c r="J47" s="216"/>
      <c r="K47" s="211">
        <f t="shared" si="6"/>
        <v>126.06</v>
      </c>
      <c r="L47" s="211">
        <v>0</v>
      </c>
      <c r="M47" s="211">
        <f t="shared" si="11"/>
        <v>126.06</v>
      </c>
      <c r="N47" s="212"/>
      <c r="O47" s="212"/>
      <c r="P47" s="212">
        <f t="shared" si="8"/>
        <v>25400.850000000002</v>
      </c>
      <c r="Q47" s="217"/>
    </row>
    <row r="48" spans="1:17" ht="14" x14ac:dyDescent="0.2">
      <c r="A48" s="166">
        <v>45825</v>
      </c>
      <c r="B48" s="167" t="s">
        <v>577</v>
      </c>
      <c r="C48" s="253" t="s">
        <v>642</v>
      </c>
      <c r="D48" s="233">
        <v>16540</v>
      </c>
      <c r="E48" s="190" t="s">
        <v>106</v>
      </c>
      <c r="F48" s="11" t="s">
        <v>831</v>
      </c>
      <c r="G48" s="189" t="s">
        <v>50</v>
      </c>
      <c r="H48" s="356"/>
      <c r="I48" s="357">
        <v>597.11</v>
      </c>
      <c r="J48" s="216"/>
      <c r="K48" s="211">
        <f t="shared" si="6"/>
        <v>597.11</v>
      </c>
      <c r="L48" s="211">
        <v>99.51</v>
      </c>
      <c r="M48" s="211">
        <f>K48-L48</f>
        <v>497.6</v>
      </c>
      <c r="N48" s="212">
        <v>-597.11</v>
      </c>
      <c r="O48" s="212"/>
      <c r="P48" s="212">
        <f t="shared" si="8"/>
        <v>24803.74</v>
      </c>
      <c r="Q48" s="217"/>
    </row>
    <row r="49" spans="1:17" ht="14" x14ac:dyDescent="0.2">
      <c r="A49" s="166">
        <v>45825</v>
      </c>
      <c r="B49" s="167" t="s">
        <v>95</v>
      </c>
      <c r="C49" s="253" t="s">
        <v>643</v>
      </c>
      <c r="D49" s="233">
        <v>1048335</v>
      </c>
      <c r="E49" s="190" t="s">
        <v>106</v>
      </c>
      <c r="F49" s="11" t="s">
        <v>831</v>
      </c>
      <c r="G49" s="189" t="s">
        <v>19</v>
      </c>
      <c r="H49" s="356"/>
      <c r="I49" s="357">
        <v>7.99</v>
      </c>
      <c r="J49" s="216"/>
      <c r="K49" s="211">
        <f t="shared" si="6"/>
        <v>7.99</v>
      </c>
      <c r="L49" s="211">
        <v>1.33</v>
      </c>
      <c r="M49" s="211">
        <f t="shared" si="10"/>
        <v>6.66</v>
      </c>
      <c r="N49" s="212">
        <v>-7.99</v>
      </c>
      <c r="O49" s="212"/>
      <c r="P49" s="212">
        <f t="shared" si="8"/>
        <v>24795.75</v>
      </c>
      <c r="Q49" s="193"/>
    </row>
    <row r="50" spans="1:17" ht="14" x14ac:dyDescent="0.2">
      <c r="A50" s="166">
        <v>45825</v>
      </c>
      <c r="B50" s="167" t="s">
        <v>644</v>
      </c>
      <c r="C50" s="253" t="s">
        <v>645</v>
      </c>
      <c r="D50" s="233">
        <v>242</v>
      </c>
      <c r="E50" s="190" t="s">
        <v>106</v>
      </c>
      <c r="F50" s="189"/>
      <c r="G50" s="189" t="s">
        <v>148</v>
      </c>
      <c r="H50" s="356"/>
      <c r="I50" s="357">
        <v>1080</v>
      </c>
      <c r="J50" s="216"/>
      <c r="K50" s="211">
        <f t="shared" si="6"/>
        <v>1080</v>
      </c>
      <c r="L50" s="211">
        <v>0</v>
      </c>
      <c r="M50" s="211">
        <f t="shared" si="10"/>
        <v>1080</v>
      </c>
      <c r="N50" s="212">
        <v>-1080</v>
      </c>
      <c r="O50" s="212"/>
      <c r="P50" s="212">
        <f t="shared" si="8"/>
        <v>23715.75</v>
      </c>
      <c r="Q50" s="193"/>
    </row>
    <row r="51" spans="1:17" ht="14" x14ac:dyDescent="0.2">
      <c r="A51" s="166">
        <v>45825</v>
      </c>
      <c r="B51" s="167" t="s">
        <v>255</v>
      </c>
      <c r="C51" s="253" t="s">
        <v>646</v>
      </c>
      <c r="D51" s="233" t="s">
        <v>249</v>
      </c>
      <c r="E51" s="190" t="s">
        <v>106</v>
      </c>
      <c r="F51" s="189"/>
      <c r="G51" s="189" t="s">
        <v>61</v>
      </c>
      <c r="H51" s="356"/>
      <c r="I51" s="357">
        <v>30.97</v>
      </c>
      <c r="J51" s="216"/>
      <c r="K51" s="211">
        <f t="shared" si="6"/>
        <v>30.97</v>
      </c>
      <c r="L51" s="211">
        <v>0</v>
      </c>
      <c r="M51" s="211">
        <f t="shared" si="10"/>
        <v>30.97</v>
      </c>
      <c r="N51" s="212">
        <v>-30.97</v>
      </c>
      <c r="O51" s="212"/>
      <c r="P51" s="212">
        <f t="shared" si="8"/>
        <v>23684.78</v>
      </c>
      <c r="Q51" s="193"/>
    </row>
    <row r="52" spans="1:17" ht="14" x14ac:dyDescent="0.2">
      <c r="A52" s="166">
        <v>45825</v>
      </c>
      <c r="B52" s="167" t="s">
        <v>650</v>
      </c>
      <c r="C52" s="253" t="s">
        <v>648</v>
      </c>
      <c r="D52" s="233" t="s">
        <v>649</v>
      </c>
      <c r="E52" s="190" t="s">
        <v>106</v>
      </c>
      <c r="F52" s="189"/>
      <c r="G52" s="189" t="s">
        <v>156</v>
      </c>
      <c r="H52" s="356"/>
      <c r="I52" s="357">
        <v>120</v>
      </c>
      <c r="J52" s="216"/>
      <c r="K52" s="211">
        <f t="shared" si="6"/>
        <v>120</v>
      </c>
      <c r="L52" s="211">
        <v>0</v>
      </c>
      <c r="M52" s="211">
        <f t="shared" si="10"/>
        <v>120</v>
      </c>
      <c r="N52" s="212">
        <v>-120</v>
      </c>
      <c r="O52" s="212"/>
      <c r="P52" s="212">
        <f t="shared" si="8"/>
        <v>23564.78</v>
      </c>
      <c r="Q52" s="193"/>
    </row>
    <row r="53" spans="1:17" ht="14" x14ac:dyDescent="0.2">
      <c r="A53" s="166">
        <v>45825</v>
      </c>
      <c r="B53" s="167" t="s">
        <v>545</v>
      </c>
      <c r="C53" s="253" t="s">
        <v>611</v>
      </c>
      <c r="D53" s="233">
        <v>457144544</v>
      </c>
      <c r="E53" s="190" t="s">
        <v>106</v>
      </c>
      <c r="F53" s="189"/>
      <c r="G53" s="189" t="s">
        <v>27</v>
      </c>
      <c r="H53" s="356"/>
      <c r="I53" s="357">
        <v>4.25</v>
      </c>
      <c r="J53" s="216"/>
      <c r="K53" s="211">
        <f t="shared" si="6"/>
        <v>4.25</v>
      </c>
      <c r="L53" s="211">
        <v>0</v>
      </c>
      <c r="M53" s="211">
        <f t="shared" si="10"/>
        <v>4.25</v>
      </c>
      <c r="N53" s="212">
        <v>-4.25</v>
      </c>
      <c r="O53" s="212"/>
      <c r="P53" s="212">
        <f t="shared" si="8"/>
        <v>23560.53</v>
      </c>
      <c r="Q53" s="193"/>
    </row>
    <row r="54" spans="1:17" ht="14" x14ac:dyDescent="0.2">
      <c r="A54" s="166">
        <v>45825</v>
      </c>
      <c r="B54" s="167" t="s">
        <v>651</v>
      </c>
      <c r="C54" s="253" t="s">
        <v>652</v>
      </c>
      <c r="D54" s="233">
        <v>6966</v>
      </c>
      <c r="E54" s="190" t="s">
        <v>106</v>
      </c>
      <c r="F54" s="11" t="s">
        <v>831</v>
      </c>
      <c r="G54" s="189" t="s">
        <v>148</v>
      </c>
      <c r="H54" s="356"/>
      <c r="I54" s="357">
        <v>399</v>
      </c>
      <c r="J54" s="216"/>
      <c r="K54" s="211">
        <f t="shared" si="6"/>
        <v>399</v>
      </c>
      <c r="L54" s="211">
        <v>66.5</v>
      </c>
      <c r="M54" s="211">
        <f t="shared" si="10"/>
        <v>332.5</v>
      </c>
      <c r="N54" s="212">
        <v>-399</v>
      </c>
      <c r="O54" s="212"/>
      <c r="P54" s="212">
        <f t="shared" si="8"/>
        <v>23161.53</v>
      </c>
    </row>
    <row r="55" spans="1:17" ht="14" x14ac:dyDescent="0.2">
      <c r="A55" s="166">
        <v>45853</v>
      </c>
      <c r="B55" s="189" t="s">
        <v>654</v>
      </c>
      <c r="C55" s="253" t="s">
        <v>657</v>
      </c>
      <c r="D55" s="233"/>
      <c r="E55" s="214"/>
      <c r="F55" s="215"/>
      <c r="G55" s="189" t="s">
        <v>13</v>
      </c>
      <c r="H55" s="356"/>
      <c r="I55" s="357">
        <v>73.5</v>
      </c>
      <c r="J55" s="216"/>
      <c r="K55" s="211">
        <f t="shared" si="6"/>
        <v>73.5</v>
      </c>
      <c r="L55" s="211">
        <v>0</v>
      </c>
      <c r="M55" s="211">
        <f t="shared" ref="M55" si="12">K55-L55</f>
        <v>73.5</v>
      </c>
      <c r="N55" s="212">
        <v>-105</v>
      </c>
      <c r="O55" s="212"/>
      <c r="P55" s="212">
        <f t="shared" si="8"/>
        <v>23056.53</v>
      </c>
      <c r="Q55" s="217"/>
    </row>
    <row r="56" spans="1:17" ht="14" x14ac:dyDescent="0.2">
      <c r="A56" s="166">
        <v>45853</v>
      </c>
      <c r="B56" s="189" t="s">
        <v>655</v>
      </c>
      <c r="C56" s="253" t="s">
        <v>657</v>
      </c>
      <c r="D56" s="233"/>
      <c r="E56" s="214"/>
      <c r="F56" s="215"/>
      <c r="G56" s="189" t="s">
        <v>13</v>
      </c>
      <c r="H56" s="356"/>
      <c r="I56" s="357">
        <v>294.14</v>
      </c>
      <c r="J56" s="216"/>
      <c r="K56" s="211">
        <f t="shared" si="6"/>
        <v>294.14</v>
      </c>
      <c r="L56" s="211">
        <v>0</v>
      </c>
      <c r="M56" s="211">
        <f t="shared" ref="M56:M69" si="13">K56-L56</f>
        <v>294.14</v>
      </c>
      <c r="N56" s="212">
        <v>-422.45</v>
      </c>
      <c r="O56" s="212"/>
      <c r="P56" s="212">
        <f t="shared" si="8"/>
        <v>22634.079999999998</v>
      </c>
      <c r="Q56" s="217"/>
    </row>
    <row r="57" spans="1:17" ht="14" x14ac:dyDescent="0.2">
      <c r="A57" s="166">
        <v>45853</v>
      </c>
      <c r="B57" s="167" t="s">
        <v>655</v>
      </c>
      <c r="C57" s="253" t="s">
        <v>658</v>
      </c>
      <c r="D57" s="233"/>
      <c r="E57" s="190"/>
      <c r="F57" s="189"/>
      <c r="G57" s="189" t="s">
        <v>19</v>
      </c>
      <c r="H57" s="356"/>
      <c r="I57" s="357">
        <v>2.25</v>
      </c>
      <c r="J57" s="216"/>
      <c r="K57" s="211">
        <f t="shared" si="6"/>
        <v>2.25</v>
      </c>
      <c r="L57" s="211">
        <v>0</v>
      </c>
      <c r="M57" s="211">
        <f t="shared" si="13"/>
        <v>2.25</v>
      </c>
      <c r="N57" s="212"/>
      <c r="O57" s="212"/>
      <c r="P57" s="212">
        <f t="shared" si="8"/>
        <v>22634.079999999998</v>
      </c>
      <c r="Q57" s="217"/>
    </row>
    <row r="58" spans="1:17" ht="14" x14ac:dyDescent="0.2">
      <c r="A58" s="166">
        <v>45853</v>
      </c>
      <c r="B58" s="167" t="s">
        <v>656</v>
      </c>
      <c r="C58" s="253" t="s">
        <v>659</v>
      </c>
      <c r="D58" s="233"/>
      <c r="E58" s="190"/>
      <c r="F58" s="189"/>
      <c r="G58" s="189" t="s">
        <v>17</v>
      </c>
      <c r="H58" s="356"/>
      <c r="I58" s="357">
        <v>31.5</v>
      </c>
      <c r="J58" s="216"/>
      <c r="K58" s="211">
        <f t="shared" si="6"/>
        <v>31.5</v>
      </c>
      <c r="L58" s="211">
        <v>0</v>
      </c>
      <c r="M58" s="211">
        <f t="shared" si="13"/>
        <v>31.5</v>
      </c>
      <c r="N58" s="212"/>
      <c r="O58" s="212"/>
      <c r="P58" s="212">
        <f t="shared" si="8"/>
        <v>22634.079999999998</v>
      </c>
      <c r="Q58" s="217"/>
    </row>
    <row r="59" spans="1:17" ht="14" x14ac:dyDescent="0.2">
      <c r="A59" s="166">
        <v>45853</v>
      </c>
      <c r="B59" s="167" t="s">
        <v>655</v>
      </c>
      <c r="C59" s="253" t="s">
        <v>659</v>
      </c>
      <c r="D59" s="233"/>
      <c r="E59" s="190"/>
      <c r="F59" s="189"/>
      <c r="G59" s="189" t="s">
        <v>17</v>
      </c>
      <c r="H59" s="356"/>
      <c r="I59" s="357">
        <v>126.06</v>
      </c>
      <c r="J59" s="216"/>
      <c r="K59" s="211">
        <f t="shared" si="6"/>
        <v>126.06</v>
      </c>
      <c r="L59" s="211">
        <v>0</v>
      </c>
      <c r="M59" s="211">
        <f t="shared" si="13"/>
        <v>126.06</v>
      </c>
      <c r="N59" s="212"/>
      <c r="O59" s="212"/>
      <c r="P59" s="212">
        <f t="shared" si="8"/>
        <v>22634.079999999998</v>
      </c>
      <c r="Q59" s="217"/>
    </row>
    <row r="60" spans="1:17" ht="14" x14ac:dyDescent="0.2">
      <c r="A60" s="166">
        <v>45852</v>
      </c>
      <c r="B60" s="167" t="s">
        <v>577</v>
      </c>
      <c r="C60" s="253" t="s">
        <v>660</v>
      </c>
      <c r="D60" s="233">
        <v>16595</v>
      </c>
      <c r="E60" s="190" t="s">
        <v>106</v>
      </c>
      <c r="F60" s="11" t="s">
        <v>831</v>
      </c>
      <c r="G60" s="189" t="s">
        <v>50</v>
      </c>
      <c r="H60" s="356"/>
      <c r="I60" s="357">
        <v>1194.25</v>
      </c>
      <c r="J60" s="216"/>
      <c r="K60" s="211">
        <f t="shared" si="6"/>
        <v>1194.25</v>
      </c>
      <c r="L60" s="211">
        <v>199.05</v>
      </c>
      <c r="M60" s="211">
        <f t="shared" si="13"/>
        <v>995.2</v>
      </c>
      <c r="N60" s="212">
        <v>-1194.25</v>
      </c>
      <c r="O60" s="212"/>
      <c r="P60" s="212">
        <f t="shared" si="8"/>
        <v>21439.829999999998</v>
      </c>
      <c r="Q60" s="217"/>
    </row>
    <row r="61" spans="1:17" ht="14" x14ac:dyDescent="0.2">
      <c r="A61" s="166">
        <v>45852</v>
      </c>
      <c r="B61" s="167" t="s">
        <v>661</v>
      </c>
      <c r="C61" s="253" t="s">
        <v>662</v>
      </c>
      <c r="D61" s="233">
        <v>1287417</v>
      </c>
      <c r="E61" s="190" t="s">
        <v>106</v>
      </c>
      <c r="F61" s="11" t="s">
        <v>831</v>
      </c>
      <c r="G61" s="189" t="s">
        <v>61</v>
      </c>
      <c r="H61" s="356"/>
      <c r="I61" s="357">
        <v>75.180000000000007</v>
      </c>
      <c r="J61" s="216"/>
      <c r="K61" s="211">
        <f t="shared" si="6"/>
        <v>75.180000000000007</v>
      </c>
      <c r="L61" s="211">
        <v>12.53</v>
      </c>
      <c r="M61" s="211">
        <f t="shared" si="13"/>
        <v>62.650000000000006</v>
      </c>
      <c r="N61" s="212">
        <v>-75.180000000000007</v>
      </c>
      <c r="O61" s="212"/>
      <c r="P61" s="212">
        <f t="shared" si="8"/>
        <v>21364.649999999998</v>
      </c>
      <c r="Q61" s="217"/>
    </row>
    <row r="62" spans="1:17" ht="14" x14ac:dyDescent="0.2">
      <c r="A62" s="166">
        <v>45859</v>
      </c>
      <c r="B62" s="167" t="s">
        <v>545</v>
      </c>
      <c r="C62" s="253" t="s">
        <v>611</v>
      </c>
      <c r="D62" s="233">
        <v>459616451</v>
      </c>
      <c r="E62" s="190" t="s">
        <v>106</v>
      </c>
      <c r="F62" s="189"/>
      <c r="G62" s="189" t="s">
        <v>27</v>
      </c>
      <c r="H62" s="356"/>
      <c r="I62" s="357">
        <v>4.25</v>
      </c>
      <c r="J62" s="216"/>
      <c r="K62" s="211">
        <f t="shared" si="6"/>
        <v>4.25</v>
      </c>
      <c r="L62" s="211">
        <v>0</v>
      </c>
      <c r="M62" s="211">
        <f t="shared" si="13"/>
        <v>4.25</v>
      </c>
      <c r="N62" s="212">
        <v>-4.25</v>
      </c>
      <c r="O62" s="212"/>
      <c r="P62" s="212">
        <f t="shared" si="8"/>
        <v>21360.399999999998</v>
      </c>
      <c r="Q62" s="217"/>
    </row>
    <row r="63" spans="1:17" ht="28" x14ac:dyDescent="0.2">
      <c r="A63" s="166">
        <v>45861</v>
      </c>
      <c r="B63" s="167" t="s">
        <v>96</v>
      </c>
      <c r="C63" s="254" t="s">
        <v>663</v>
      </c>
      <c r="D63" s="233">
        <v>8357291</v>
      </c>
      <c r="E63" s="190" t="s">
        <v>106</v>
      </c>
      <c r="F63" s="189"/>
      <c r="G63" s="189" t="s">
        <v>48</v>
      </c>
      <c r="H63" s="356"/>
      <c r="I63" s="357">
        <v>527.22</v>
      </c>
      <c r="J63" s="216"/>
      <c r="K63" s="211">
        <f t="shared" si="6"/>
        <v>527.22</v>
      </c>
      <c r="L63" s="211">
        <v>0</v>
      </c>
      <c r="M63" s="211">
        <f t="shared" si="13"/>
        <v>527.22</v>
      </c>
      <c r="N63" s="212">
        <v>-527.22</v>
      </c>
      <c r="O63" s="212"/>
      <c r="P63" s="212">
        <f t="shared" si="8"/>
        <v>20833.179999999997</v>
      </c>
      <c r="Q63" s="217"/>
    </row>
    <row r="64" spans="1:17" ht="14" x14ac:dyDescent="0.2">
      <c r="A64" s="166">
        <v>45862</v>
      </c>
      <c r="B64" s="167" t="s">
        <v>664</v>
      </c>
      <c r="C64" s="253" t="s">
        <v>665</v>
      </c>
      <c r="D64" s="233" t="s">
        <v>666</v>
      </c>
      <c r="E64" s="190" t="s">
        <v>106</v>
      </c>
      <c r="F64" s="11" t="s">
        <v>831</v>
      </c>
      <c r="G64" s="189" t="s">
        <v>25</v>
      </c>
      <c r="H64" s="356"/>
      <c r="I64" s="357">
        <v>252</v>
      </c>
      <c r="J64" s="216"/>
      <c r="K64" s="211">
        <f t="shared" si="6"/>
        <v>252</v>
      </c>
      <c r="L64" s="211">
        <v>42</v>
      </c>
      <c r="M64" s="211">
        <f t="shared" si="13"/>
        <v>210</v>
      </c>
      <c r="N64" s="212">
        <v>-252</v>
      </c>
      <c r="O64" s="212"/>
      <c r="P64" s="212">
        <f t="shared" si="8"/>
        <v>20581.179999999997</v>
      </c>
      <c r="Q64" s="217"/>
    </row>
    <row r="65" spans="1:17" ht="14" x14ac:dyDescent="0.2">
      <c r="A65" s="166">
        <v>45862</v>
      </c>
      <c r="B65" s="167" t="s">
        <v>667</v>
      </c>
      <c r="C65" s="253" t="s">
        <v>668</v>
      </c>
      <c r="D65" s="233">
        <v>56877</v>
      </c>
      <c r="E65" s="190" t="s">
        <v>106</v>
      </c>
      <c r="F65" s="11" t="s">
        <v>831</v>
      </c>
      <c r="G65" s="189" t="s">
        <v>48</v>
      </c>
      <c r="H65" s="356"/>
      <c r="I65" s="357">
        <v>139.24</v>
      </c>
      <c r="J65" s="216"/>
      <c r="K65" s="211">
        <f t="shared" si="6"/>
        <v>139.24</v>
      </c>
      <c r="L65" s="211">
        <v>23.2</v>
      </c>
      <c r="M65" s="211">
        <f t="shared" si="13"/>
        <v>116.04</v>
      </c>
      <c r="N65" s="212">
        <v>-139.24</v>
      </c>
      <c r="O65" s="212"/>
      <c r="P65" s="212">
        <f t="shared" si="8"/>
        <v>20441.939999999995</v>
      </c>
      <c r="Q65" s="217"/>
    </row>
    <row r="66" spans="1:17" ht="14" x14ac:dyDescent="0.2">
      <c r="A66" s="166">
        <v>45870</v>
      </c>
      <c r="B66" s="189" t="s">
        <v>693</v>
      </c>
      <c r="C66" s="253" t="s">
        <v>669</v>
      </c>
      <c r="D66" s="233"/>
      <c r="E66" s="214"/>
      <c r="F66" s="215"/>
      <c r="G66" s="189" t="s">
        <v>13</v>
      </c>
      <c r="H66" s="356"/>
      <c r="I66" s="357">
        <v>73.5</v>
      </c>
      <c r="J66" s="216"/>
      <c r="K66" s="211">
        <f t="shared" si="6"/>
        <v>73.5</v>
      </c>
      <c r="L66" s="211">
        <v>0</v>
      </c>
      <c r="M66" s="211">
        <f t="shared" si="13"/>
        <v>73.5</v>
      </c>
      <c r="N66" s="212">
        <v>-105</v>
      </c>
      <c r="O66" s="212"/>
      <c r="P66" s="212">
        <f t="shared" si="8"/>
        <v>20336.939999999995</v>
      </c>
      <c r="Q66" s="217"/>
    </row>
    <row r="67" spans="1:17" ht="14" x14ac:dyDescent="0.2">
      <c r="A67" s="166">
        <v>45870</v>
      </c>
      <c r="B67" s="189" t="s">
        <v>694</v>
      </c>
      <c r="C67" s="253" t="s">
        <v>669</v>
      </c>
      <c r="D67" s="233"/>
      <c r="E67" s="214"/>
      <c r="F67" s="215"/>
      <c r="G67" s="189" t="s">
        <v>13</v>
      </c>
      <c r="H67" s="356"/>
      <c r="I67" s="357">
        <v>294.14</v>
      </c>
      <c r="J67" s="216"/>
      <c r="K67" s="211">
        <f t="shared" si="6"/>
        <v>294.14</v>
      </c>
      <c r="L67" s="211">
        <v>0</v>
      </c>
      <c r="M67" s="211">
        <f t="shared" si="13"/>
        <v>294.14</v>
      </c>
      <c r="N67" s="212">
        <v>-422.45</v>
      </c>
      <c r="O67" s="212"/>
      <c r="P67" s="212">
        <f t="shared" si="8"/>
        <v>19914.489999999994</v>
      </c>
      <c r="Q67" s="217"/>
    </row>
    <row r="68" spans="1:17" ht="14" x14ac:dyDescent="0.2">
      <c r="A68" s="166">
        <v>45870</v>
      </c>
      <c r="B68" s="167" t="s">
        <v>694</v>
      </c>
      <c r="C68" s="253" t="s">
        <v>670</v>
      </c>
      <c r="D68" s="233"/>
      <c r="E68" s="190"/>
      <c r="F68" s="189"/>
      <c r="G68" s="189" t="s">
        <v>19</v>
      </c>
      <c r="H68" s="356"/>
      <c r="I68" s="357">
        <v>2.25</v>
      </c>
      <c r="J68" s="216"/>
      <c r="K68" s="211">
        <f t="shared" si="6"/>
        <v>2.25</v>
      </c>
      <c r="L68" s="211">
        <v>0</v>
      </c>
      <c r="M68" s="211">
        <f t="shared" si="13"/>
        <v>2.25</v>
      </c>
      <c r="N68" s="212"/>
      <c r="O68" s="212"/>
      <c r="P68" s="212">
        <f t="shared" si="8"/>
        <v>19914.489999999994</v>
      </c>
      <c r="Q68" s="217"/>
    </row>
    <row r="69" spans="1:17" ht="14" x14ac:dyDescent="0.2">
      <c r="A69" s="166">
        <v>45870</v>
      </c>
      <c r="B69" s="167" t="s">
        <v>695</v>
      </c>
      <c r="C69" s="253" t="s">
        <v>671</v>
      </c>
      <c r="D69" s="233"/>
      <c r="E69" s="190"/>
      <c r="F69" s="189"/>
      <c r="G69" s="189" t="s">
        <v>17</v>
      </c>
      <c r="H69" s="356"/>
      <c r="I69" s="357">
        <v>31.5</v>
      </c>
      <c r="J69" s="216"/>
      <c r="K69" s="211">
        <f t="shared" si="6"/>
        <v>31.5</v>
      </c>
      <c r="L69" s="211">
        <v>0</v>
      </c>
      <c r="M69" s="211">
        <f t="shared" si="13"/>
        <v>31.5</v>
      </c>
      <c r="N69" s="212"/>
      <c r="O69" s="212"/>
      <c r="P69" s="212">
        <f t="shared" si="8"/>
        <v>19914.489999999994</v>
      </c>
      <c r="Q69" s="217"/>
    </row>
    <row r="70" spans="1:17" ht="14" x14ac:dyDescent="0.2">
      <c r="A70" s="166">
        <v>45870</v>
      </c>
      <c r="B70" s="167" t="s">
        <v>694</v>
      </c>
      <c r="C70" s="253" t="s">
        <v>671</v>
      </c>
      <c r="D70" s="233"/>
      <c r="E70" s="190"/>
      <c r="F70" s="189"/>
      <c r="G70" s="189" t="s">
        <v>17</v>
      </c>
      <c r="H70" s="356"/>
      <c r="I70" s="357">
        <v>126.06</v>
      </c>
      <c r="J70" s="216"/>
      <c r="K70" s="211">
        <f t="shared" si="6"/>
        <v>126.06</v>
      </c>
      <c r="L70" s="211">
        <v>0</v>
      </c>
      <c r="M70" s="211">
        <f t="shared" si="10"/>
        <v>126.06</v>
      </c>
      <c r="N70" s="212"/>
      <c r="O70" s="212"/>
      <c r="P70" s="212">
        <f t="shared" si="8"/>
        <v>19914.489999999994</v>
      </c>
      <c r="Q70" s="193"/>
    </row>
    <row r="71" spans="1:17" ht="28" x14ac:dyDescent="0.2">
      <c r="A71" s="166">
        <v>45870</v>
      </c>
      <c r="B71" s="167" t="s">
        <v>95</v>
      </c>
      <c r="C71" s="253" t="s">
        <v>672</v>
      </c>
      <c r="D71" s="233" t="s">
        <v>674</v>
      </c>
      <c r="E71" s="190" t="s">
        <v>106</v>
      </c>
      <c r="F71" s="11" t="s">
        <v>831</v>
      </c>
      <c r="G71" s="189" t="s">
        <v>61</v>
      </c>
      <c r="H71" s="356"/>
      <c r="I71" s="357">
        <v>19.489999999999998</v>
      </c>
      <c r="J71" s="216"/>
      <c r="K71" s="211">
        <f t="shared" si="6"/>
        <v>19.489999999999998</v>
      </c>
      <c r="L71" s="211">
        <v>3.25</v>
      </c>
      <c r="M71" s="211">
        <f t="shared" ref="M71:M75" si="14">K71-L71</f>
        <v>16.239999999999998</v>
      </c>
      <c r="N71" s="212">
        <v>-37.85</v>
      </c>
      <c r="O71" s="212"/>
      <c r="P71" s="212">
        <f t="shared" si="8"/>
        <v>19876.639999999996</v>
      </c>
      <c r="Q71" s="193"/>
    </row>
    <row r="72" spans="1:17" ht="28" x14ac:dyDescent="0.2">
      <c r="A72" s="166">
        <v>45870</v>
      </c>
      <c r="B72" s="167" t="s">
        <v>95</v>
      </c>
      <c r="C72" s="253" t="s">
        <v>673</v>
      </c>
      <c r="D72" s="233" t="s">
        <v>675</v>
      </c>
      <c r="E72" s="190" t="s">
        <v>106</v>
      </c>
      <c r="F72" s="11" t="s">
        <v>831</v>
      </c>
      <c r="G72" s="189" t="s">
        <v>61</v>
      </c>
      <c r="H72" s="356"/>
      <c r="I72" s="357">
        <v>18.36</v>
      </c>
      <c r="J72" s="216"/>
      <c r="K72" s="211">
        <f t="shared" si="6"/>
        <v>18.36</v>
      </c>
      <c r="L72" s="211">
        <v>3.08</v>
      </c>
      <c r="M72" s="211">
        <f t="shared" si="14"/>
        <v>15.28</v>
      </c>
      <c r="N72" s="212"/>
      <c r="O72" s="212"/>
      <c r="P72" s="212">
        <f t="shared" si="8"/>
        <v>19876.639999999996</v>
      </c>
      <c r="Q72" s="193"/>
    </row>
    <row r="73" spans="1:17" ht="14" x14ac:dyDescent="0.2">
      <c r="A73" s="166">
        <v>45870</v>
      </c>
      <c r="B73" s="167" t="s">
        <v>580</v>
      </c>
      <c r="C73" s="253" t="s">
        <v>676</v>
      </c>
      <c r="D73" s="233" t="s">
        <v>677</v>
      </c>
      <c r="E73" s="190" t="s">
        <v>106</v>
      </c>
      <c r="F73" s="11" t="s">
        <v>831</v>
      </c>
      <c r="G73" s="189" t="s">
        <v>98</v>
      </c>
      <c r="H73" s="356"/>
      <c r="I73" s="357">
        <v>356.1</v>
      </c>
      <c r="J73" s="216"/>
      <c r="K73" s="211">
        <f t="shared" si="6"/>
        <v>356.1</v>
      </c>
      <c r="L73" s="211">
        <v>59.35</v>
      </c>
      <c r="M73" s="211">
        <f t="shared" si="14"/>
        <v>296.75</v>
      </c>
      <c r="N73" s="212">
        <v>-356.1</v>
      </c>
      <c r="O73" s="212"/>
      <c r="P73" s="212">
        <f t="shared" si="8"/>
        <v>19520.539999999997</v>
      </c>
      <c r="Q73" s="193"/>
    </row>
    <row r="74" spans="1:17" ht="28" x14ac:dyDescent="0.2">
      <c r="A74" s="166">
        <v>45873</v>
      </c>
      <c r="B74" s="167" t="s">
        <v>678</v>
      </c>
      <c r="C74" s="253" t="s">
        <v>679</v>
      </c>
      <c r="D74" s="233">
        <v>4650</v>
      </c>
      <c r="E74" s="190" t="s">
        <v>106</v>
      </c>
      <c r="F74" s="11" t="s">
        <v>831</v>
      </c>
      <c r="G74" s="189" t="s">
        <v>61</v>
      </c>
      <c r="H74" s="356"/>
      <c r="I74" s="357">
        <v>90</v>
      </c>
      <c r="J74" s="216"/>
      <c r="K74" s="211">
        <f t="shared" si="6"/>
        <v>90</v>
      </c>
      <c r="L74" s="211">
        <v>15</v>
      </c>
      <c r="M74" s="211">
        <f t="shared" si="14"/>
        <v>75</v>
      </c>
      <c r="N74" s="212">
        <v>-90</v>
      </c>
      <c r="O74" s="212"/>
      <c r="P74" s="212">
        <f t="shared" si="8"/>
        <v>19430.539999999997</v>
      </c>
      <c r="Q74" s="193"/>
    </row>
    <row r="75" spans="1:17" ht="28" x14ac:dyDescent="0.2">
      <c r="A75" s="166">
        <v>45875</v>
      </c>
      <c r="B75" s="167" t="s">
        <v>680</v>
      </c>
      <c r="C75" s="253" t="s">
        <v>681</v>
      </c>
      <c r="D75" s="233">
        <v>33806</v>
      </c>
      <c r="E75" s="190" t="s">
        <v>106</v>
      </c>
      <c r="F75" s="11" t="s">
        <v>831</v>
      </c>
      <c r="G75" s="189" t="s">
        <v>38</v>
      </c>
      <c r="H75" s="356"/>
      <c r="I75" s="357">
        <v>240</v>
      </c>
      <c r="J75" s="216"/>
      <c r="K75" s="211">
        <f t="shared" si="6"/>
        <v>240</v>
      </c>
      <c r="L75" s="211">
        <v>40</v>
      </c>
      <c r="M75" s="211">
        <f t="shared" si="14"/>
        <v>200</v>
      </c>
      <c r="N75" s="212">
        <v>-240</v>
      </c>
      <c r="O75" s="212"/>
      <c r="P75" s="212">
        <f t="shared" si="8"/>
        <v>19190.539999999997</v>
      </c>
      <c r="Q75" s="193"/>
    </row>
    <row r="76" spans="1:17" ht="14" x14ac:dyDescent="0.2">
      <c r="A76" s="166">
        <v>45888</v>
      </c>
      <c r="B76" s="167" t="s">
        <v>545</v>
      </c>
      <c r="C76" s="253" t="s">
        <v>611</v>
      </c>
      <c r="D76" s="233">
        <v>461903908</v>
      </c>
      <c r="E76" s="190" t="s">
        <v>106</v>
      </c>
      <c r="F76" s="189"/>
      <c r="G76" s="189" t="s">
        <v>27</v>
      </c>
      <c r="H76" s="356"/>
      <c r="I76" s="357">
        <v>4.25</v>
      </c>
      <c r="J76" s="216"/>
      <c r="K76" s="211">
        <f t="shared" si="6"/>
        <v>4.25</v>
      </c>
      <c r="L76" s="211">
        <v>0</v>
      </c>
      <c r="M76" s="211">
        <f t="shared" si="10"/>
        <v>4.25</v>
      </c>
      <c r="N76" s="212">
        <v>-4.25</v>
      </c>
      <c r="O76" s="212"/>
      <c r="P76" s="212">
        <f t="shared" si="8"/>
        <v>19186.289999999997</v>
      </c>
      <c r="Q76" s="193"/>
    </row>
    <row r="77" spans="1:17" ht="14" x14ac:dyDescent="0.2">
      <c r="A77" s="166">
        <v>45912</v>
      </c>
      <c r="B77" s="167" t="s">
        <v>119</v>
      </c>
      <c r="C77" s="253" t="s">
        <v>692</v>
      </c>
      <c r="D77" s="233" t="s">
        <v>239</v>
      </c>
      <c r="E77" s="190" t="s">
        <v>106</v>
      </c>
      <c r="F77" s="189"/>
      <c r="G77" s="189" t="s">
        <v>4</v>
      </c>
      <c r="H77" s="356">
        <v>13250</v>
      </c>
      <c r="I77" s="357"/>
      <c r="J77" s="216"/>
      <c r="K77" s="211">
        <f t="shared" si="6"/>
        <v>0</v>
      </c>
      <c r="L77" s="211">
        <v>0</v>
      </c>
      <c r="M77" s="211">
        <f t="shared" ref="M77:M107" si="15">K77-L77</f>
        <v>0</v>
      </c>
      <c r="N77" s="212">
        <v>13250</v>
      </c>
      <c r="O77" s="212"/>
      <c r="P77" s="212">
        <f t="shared" si="8"/>
        <v>32436.289999999997</v>
      </c>
      <c r="Q77" s="193"/>
    </row>
    <row r="78" spans="1:17" ht="14" x14ac:dyDescent="0.2">
      <c r="A78" s="166">
        <v>45915</v>
      </c>
      <c r="B78" s="189" t="s">
        <v>696</v>
      </c>
      <c r="C78" s="253" t="s">
        <v>698</v>
      </c>
      <c r="D78" s="233"/>
      <c r="E78" s="214"/>
      <c r="F78" s="215"/>
      <c r="G78" s="189" t="s">
        <v>13</v>
      </c>
      <c r="H78" s="356"/>
      <c r="I78" s="357">
        <v>73.64</v>
      </c>
      <c r="J78" s="216"/>
      <c r="K78" s="211">
        <f t="shared" si="6"/>
        <v>73.64</v>
      </c>
      <c r="L78" s="211">
        <v>0</v>
      </c>
      <c r="M78" s="211">
        <f t="shared" si="15"/>
        <v>73.64</v>
      </c>
      <c r="N78" s="212">
        <v>-73.64</v>
      </c>
      <c r="O78" s="212"/>
      <c r="P78" s="212">
        <f t="shared" si="8"/>
        <v>32362.649999999998</v>
      </c>
      <c r="Q78" s="193"/>
    </row>
    <row r="79" spans="1:17" ht="14" x14ac:dyDescent="0.2">
      <c r="A79" s="166">
        <v>45915</v>
      </c>
      <c r="B79" s="189" t="s">
        <v>697</v>
      </c>
      <c r="C79" s="253" t="s">
        <v>699</v>
      </c>
      <c r="D79" s="233"/>
      <c r="E79" s="214"/>
      <c r="F79" s="215"/>
      <c r="G79" s="189" t="s">
        <v>13</v>
      </c>
      <c r="H79" s="356"/>
      <c r="I79" s="357">
        <v>294</v>
      </c>
      <c r="J79" s="216"/>
      <c r="K79" s="211">
        <f t="shared" si="6"/>
        <v>294</v>
      </c>
      <c r="L79" s="211">
        <v>0</v>
      </c>
      <c r="M79" s="211">
        <f t="shared" si="15"/>
        <v>294</v>
      </c>
      <c r="N79" s="212">
        <v>-294</v>
      </c>
      <c r="O79" s="212"/>
      <c r="P79" s="212">
        <f t="shared" si="8"/>
        <v>32068.649999999998</v>
      </c>
      <c r="Q79" s="193"/>
    </row>
    <row r="80" spans="1:17" ht="14" x14ac:dyDescent="0.2">
      <c r="A80" s="166">
        <v>45915</v>
      </c>
      <c r="B80" s="167" t="s">
        <v>697</v>
      </c>
      <c r="C80" s="253" t="s">
        <v>700</v>
      </c>
      <c r="D80" s="233"/>
      <c r="E80" s="190"/>
      <c r="F80" s="189"/>
      <c r="G80" s="189" t="s">
        <v>19</v>
      </c>
      <c r="H80" s="356"/>
      <c r="I80" s="357">
        <v>0</v>
      </c>
      <c r="J80" s="216"/>
      <c r="K80" s="211">
        <f t="shared" si="6"/>
        <v>0</v>
      </c>
      <c r="L80" s="211">
        <v>0</v>
      </c>
      <c r="M80" s="211">
        <f t="shared" si="15"/>
        <v>0</v>
      </c>
      <c r="N80" s="212"/>
      <c r="O80" s="212"/>
      <c r="P80" s="212">
        <f t="shared" si="8"/>
        <v>32068.649999999998</v>
      </c>
      <c r="Q80" s="193"/>
    </row>
    <row r="81" spans="1:17" ht="14" x14ac:dyDescent="0.2">
      <c r="A81" s="166">
        <v>45915</v>
      </c>
      <c r="B81" s="167" t="s">
        <v>696</v>
      </c>
      <c r="C81" s="253" t="s">
        <v>701</v>
      </c>
      <c r="D81" s="233"/>
      <c r="E81" s="190"/>
      <c r="F81" s="189"/>
      <c r="G81" s="189" t="s">
        <v>17</v>
      </c>
      <c r="H81" s="356"/>
      <c r="I81" s="357">
        <v>31.56</v>
      </c>
      <c r="J81" s="216"/>
      <c r="K81" s="211">
        <f t="shared" si="6"/>
        <v>31.56</v>
      </c>
      <c r="L81" s="211">
        <v>0</v>
      </c>
      <c r="M81" s="211">
        <f t="shared" si="15"/>
        <v>31.56</v>
      </c>
      <c r="N81" s="212">
        <v>-31.56</v>
      </c>
      <c r="O81" s="212"/>
      <c r="P81" s="212">
        <f t="shared" si="8"/>
        <v>32037.089999999997</v>
      </c>
      <c r="Q81" s="193"/>
    </row>
    <row r="82" spans="1:17" ht="14" x14ac:dyDescent="0.2">
      <c r="A82" s="166">
        <v>45915</v>
      </c>
      <c r="B82" s="167" t="s">
        <v>697</v>
      </c>
      <c r="C82" s="253" t="s">
        <v>701</v>
      </c>
      <c r="D82" s="233"/>
      <c r="E82" s="190"/>
      <c r="F82" s="189"/>
      <c r="G82" s="189" t="s">
        <v>17</v>
      </c>
      <c r="H82" s="356"/>
      <c r="I82" s="357">
        <v>126</v>
      </c>
      <c r="J82" s="216"/>
      <c r="K82" s="211">
        <f t="shared" si="6"/>
        <v>126</v>
      </c>
      <c r="L82" s="211">
        <v>0</v>
      </c>
      <c r="M82" s="211">
        <f t="shared" si="15"/>
        <v>126</v>
      </c>
      <c r="N82" s="212">
        <v>-126</v>
      </c>
      <c r="O82" s="212"/>
      <c r="P82" s="212">
        <f t="shared" si="8"/>
        <v>31911.089999999997</v>
      </c>
      <c r="Q82" s="193"/>
    </row>
    <row r="83" spans="1:17" ht="28" x14ac:dyDescent="0.2">
      <c r="A83" s="166">
        <v>45915</v>
      </c>
      <c r="B83" s="167" t="s">
        <v>95</v>
      </c>
      <c r="C83" s="253" t="s">
        <v>702</v>
      </c>
      <c r="D83" s="233" t="s">
        <v>249</v>
      </c>
      <c r="E83" s="190" t="s">
        <v>106</v>
      </c>
      <c r="F83" s="189"/>
      <c r="G83" s="189" t="s">
        <v>98</v>
      </c>
      <c r="H83" s="356"/>
      <c r="I83" s="357">
        <v>95.75</v>
      </c>
      <c r="J83" s="216"/>
      <c r="K83" s="211">
        <f t="shared" si="6"/>
        <v>95.75</v>
      </c>
      <c r="L83" s="211">
        <v>0</v>
      </c>
      <c r="M83" s="211">
        <f t="shared" si="15"/>
        <v>95.75</v>
      </c>
      <c r="N83" s="212">
        <v>-95.75</v>
      </c>
      <c r="O83" s="212"/>
      <c r="P83" s="212">
        <f t="shared" si="8"/>
        <v>31815.339999999997</v>
      </c>
      <c r="Q83" s="193"/>
    </row>
    <row r="84" spans="1:17" ht="14" x14ac:dyDescent="0.2">
      <c r="A84" s="166">
        <v>45915</v>
      </c>
      <c r="B84" s="167" t="s">
        <v>95</v>
      </c>
      <c r="C84" s="253" t="s">
        <v>703</v>
      </c>
      <c r="D84" s="233" t="s">
        <v>249</v>
      </c>
      <c r="E84" s="190" t="s">
        <v>106</v>
      </c>
      <c r="F84" s="11" t="s">
        <v>831</v>
      </c>
      <c r="G84" s="189" t="s">
        <v>98</v>
      </c>
      <c r="H84" s="356"/>
      <c r="I84" s="357">
        <v>8.9700000000000006</v>
      </c>
      <c r="J84" s="216"/>
      <c r="K84" s="211">
        <f t="shared" si="6"/>
        <v>8.9700000000000006</v>
      </c>
      <c r="L84" s="211">
        <v>1.5</v>
      </c>
      <c r="M84" s="211">
        <f t="shared" si="15"/>
        <v>7.4700000000000006</v>
      </c>
      <c r="N84" s="212">
        <v>-8.9700000000000006</v>
      </c>
      <c r="O84" s="212"/>
      <c r="P84" s="212">
        <f t="shared" si="8"/>
        <v>31806.369999999995</v>
      </c>
      <c r="Q84" s="193"/>
    </row>
    <row r="85" spans="1:17" ht="14" x14ac:dyDescent="0.2">
      <c r="A85" s="166">
        <v>45915</v>
      </c>
      <c r="B85" s="167" t="s">
        <v>95</v>
      </c>
      <c r="C85" s="253" t="s">
        <v>704</v>
      </c>
      <c r="D85" s="233" t="s">
        <v>809</v>
      </c>
      <c r="E85" s="190" t="s">
        <v>106</v>
      </c>
      <c r="F85" s="11" t="s">
        <v>831</v>
      </c>
      <c r="G85" s="189" t="s">
        <v>19</v>
      </c>
      <c r="H85" s="356"/>
      <c r="I85" s="357">
        <v>72.180000000000007</v>
      </c>
      <c r="J85" s="216"/>
      <c r="K85" s="211">
        <f t="shared" si="6"/>
        <v>72.180000000000007</v>
      </c>
      <c r="L85" s="211">
        <v>12.04</v>
      </c>
      <c r="M85" s="211">
        <f t="shared" si="15"/>
        <v>60.140000000000008</v>
      </c>
      <c r="N85" s="212">
        <v>-72.180000000000007</v>
      </c>
      <c r="O85" s="212"/>
      <c r="P85" s="212">
        <f t="shared" si="8"/>
        <v>31734.189999999995</v>
      </c>
      <c r="Q85" s="193"/>
    </row>
    <row r="86" spans="1:17" ht="14" x14ac:dyDescent="0.2">
      <c r="A86" s="166">
        <v>45915</v>
      </c>
      <c r="B86" s="167" t="s">
        <v>95</v>
      </c>
      <c r="C86" s="253" t="s">
        <v>705</v>
      </c>
      <c r="D86" s="233" t="s">
        <v>810</v>
      </c>
      <c r="E86" s="190" t="s">
        <v>106</v>
      </c>
      <c r="F86" s="11" t="s">
        <v>831</v>
      </c>
      <c r="G86" s="189" t="s">
        <v>98</v>
      </c>
      <c r="H86" s="356"/>
      <c r="I86" s="357">
        <v>4.49</v>
      </c>
      <c r="J86" s="216"/>
      <c r="K86" s="211">
        <f t="shared" si="6"/>
        <v>4.49</v>
      </c>
      <c r="L86" s="211">
        <v>0.75</v>
      </c>
      <c r="M86" s="211">
        <f t="shared" si="15"/>
        <v>3.74</v>
      </c>
      <c r="N86" s="212">
        <v>-4.49</v>
      </c>
      <c r="O86" s="212"/>
      <c r="P86" s="212">
        <f t="shared" si="8"/>
        <v>31729.699999999993</v>
      </c>
      <c r="Q86" s="193"/>
    </row>
    <row r="87" spans="1:17" ht="14" x14ac:dyDescent="0.2">
      <c r="A87" s="166">
        <v>45915</v>
      </c>
      <c r="B87" s="167" t="s">
        <v>485</v>
      </c>
      <c r="C87" s="253" t="s">
        <v>706</v>
      </c>
      <c r="D87" s="233">
        <v>1466</v>
      </c>
      <c r="E87" s="190" t="s">
        <v>106</v>
      </c>
      <c r="F87" s="11" t="s">
        <v>831</v>
      </c>
      <c r="G87" s="189" t="s">
        <v>163</v>
      </c>
      <c r="H87" s="356"/>
      <c r="I87" s="357">
        <v>18</v>
      </c>
      <c r="J87" s="216"/>
      <c r="K87" s="211">
        <f t="shared" si="6"/>
        <v>18</v>
      </c>
      <c r="L87" s="211">
        <v>3</v>
      </c>
      <c r="M87" s="211">
        <f t="shared" si="15"/>
        <v>15</v>
      </c>
      <c r="N87" s="212">
        <v>-18</v>
      </c>
      <c r="O87" s="212"/>
      <c r="P87" s="212">
        <f t="shared" si="8"/>
        <v>31711.699999999993</v>
      </c>
      <c r="Q87" s="193"/>
    </row>
    <row r="88" spans="1:17" ht="14" x14ac:dyDescent="0.2">
      <c r="A88" s="166">
        <v>45915</v>
      </c>
      <c r="B88" s="167" t="s">
        <v>255</v>
      </c>
      <c r="C88" s="253" t="s">
        <v>707</v>
      </c>
      <c r="D88" s="233" t="s">
        <v>249</v>
      </c>
      <c r="E88" s="190" t="s">
        <v>106</v>
      </c>
      <c r="F88" s="189"/>
      <c r="G88" s="189" t="s">
        <v>477</v>
      </c>
      <c r="H88" s="356"/>
      <c r="I88" s="357">
        <v>56.83</v>
      </c>
      <c r="J88" s="216"/>
      <c r="K88" s="211">
        <f t="shared" ref="K88:K151" si="16">I88</f>
        <v>56.83</v>
      </c>
      <c r="L88" s="211">
        <v>0</v>
      </c>
      <c r="M88" s="211">
        <f t="shared" ref="M88:M105" si="17">K88-L88</f>
        <v>56.83</v>
      </c>
      <c r="N88" s="212">
        <v>-56.83</v>
      </c>
      <c r="O88" s="212"/>
      <c r="P88" s="212">
        <f t="shared" si="8"/>
        <v>31654.869999999992</v>
      </c>
      <c r="Q88" s="193"/>
    </row>
    <row r="89" spans="1:17" ht="14" x14ac:dyDescent="0.2">
      <c r="A89" s="166">
        <v>45915</v>
      </c>
      <c r="B89" s="167" t="s">
        <v>507</v>
      </c>
      <c r="C89" s="253" t="s">
        <v>708</v>
      </c>
      <c r="D89" s="233" t="s">
        <v>811</v>
      </c>
      <c r="E89" s="190" t="s">
        <v>106</v>
      </c>
      <c r="F89" s="189"/>
      <c r="G89" s="189" t="s">
        <v>477</v>
      </c>
      <c r="H89" s="356"/>
      <c r="I89" s="357">
        <v>30</v>
      </c>
      <c r="J89" s="216"/>
      <c r="K89" s="211">
        <f t="shared" si="16"/>
        <v>30</v>
      </c>
      <c r="L89" s="211">
        <v>0</v>
      </c>
      <c r="M89" s="211">
        <f t="shared" si="17"/>
        <v>30</v>
      </c>
      <c r="N89" s="212">
        <v>-30</v>
      </c>
      <c r="O89" s="212"/>
      <c r="P89" s="212">
        <f t="shared" si="8"/>
        <v>31624.869999999992</v>
      </c>
      <c r="Q89" s="193"/>
    </row>
    <row r="90" spans="1:17" ht="14" x14ac:dyDescent="0.2">
      <c r="A90" s="166">
        <v>45915</v>
      </c>
      <c r="B90" s="167" t="s">
        <v>426</v>
      </c>
      <c r="C90" s="253" t="s">
        <v>707</v>
      </c>
      <c r="D90" s="233" t="s">
        <v>249</v>
      </c>
      <c r="E90" s="190" t="s">
        <v>106</v>
      </c>
      <c r="F90" s="189"/>
      <c r="G90" s="189" t="s">
        <v>477</v>
      </c>
      <c r="H90" s="356"/>
      <c r="I90" s="357">
        <v>5.8</v>
      </c>
      <c r="J90" s="216"/>
      <c r="K90" s="211">
        <f t="shared" si="16"/>
        <v>5.8</v>
      </c>
      <c r="L90" s="211">
        <v>0</v>
      </c>
      <c r="M90" s="211">
        <f t="shared" si="17"/>
        <v>5.8</v>
      </c>
      <c r="N90" s="212">
        <v>-5.8</v>
      </c>
      <c r="O90" s="212"/>
      <c r="P90" s="212">
        <f t="shared" si="8"/>
        <v>31619.069999999992</v>
      </c>
      <c r="Q90" s="193"/>
    </row>
    <row r="91" spans="1:17" ht="28" x14ac:dyDescent="0.2">
      <c r="A91" s="166">
        <v>45915</v>
      </c>
      <c r="B91" s="167" t="s">
        <v>709</v>
      </c>
      <c r="C91" s="253" t="s">
        <v>710</v>
      </c>
      <c r="D91" s="233">
        <v>8001863334</v>
      </c>
      <c r="E91" s="190" t="s">
        <v>106</v>
      </c>
      <c r="F91" s="189"/>
      <c r="G91" s="189" t="s">
        <v>47</v>
      </c>
      <c r="H91" s="356"/>
      <c r="I91" s="357">
        <v>400</v>
      </c>
      <c r="J91" s="216"/>
      <c r="K91" s="211">
        <f t="shared" si="16"/>
        <v>400</v>
      </c>
      <c r="L91" s="211">
        <v>0</v>
      </c>
      <c r="M91" s="211">
        <f t="shared" si="17"/>
        <v>400</v>
      </c>
      <c r="N91" s="212">
        <v>-400</v>
      </c>
      <c r="O91" s="212"/>
      <c r="P91" s="212">
        <f t="shared" si="8"/>
        <v>31219.069999999992</v>
      </c>
      <c r="Q91" s="193"/>
    </row>
    <row r="92" spans="1:17" ht="14" x14ac:dyDescent="0.2">
      <c r="A92" s="166">
        <v>45915</v>
      </c>
      <c r="B92" s="167" t="s">
        <v>119</v>
      </c>
      <c r="C92" s="253" t="s">
        <v>711</v>
      </c>
      <c r="D92" s="233" t="s">
        <v>812</v>
      </c>
      <c r="E92" s="190"/>
      <c r="F92" s="189"/>
      <c r="G92" s="189" t="s">
        <v>9</v>
      </c>
      <c r="H92" s="356">
        <v>135</v>
      </c>
      <c r="I92" s="357"/>
      <c r="J92" s="216"/>
      <c r="K92" s="211">
        <f t="shared" si="16"/>
        <v>0</v>
      </c>
      <c r="L92" s="211">
        <v>0</v>
      </c>
      <c r="M92" s="211">
        <f t="shared" si="17"/>
        <v>0</v>
      </c>
      <c r="N92" s="212">
        <v>135</v>
      </c>
      <c r="O92" s="212"/>
      <c r="P92" s="212">
        <f t="shared" si="8"/>
        <v>31354.069999999992</v>
      </c>
      <c r="Q92" s="193"/>
    </row>
    <row r="93" spans="1:17" ht="14" x14ac:dyDescent="0.2">
      <c r="A93" s="166">
        <v>45916</v>
      </c>
      <c r="B93" s="167" t="s">
        <v>577</v>
      </c>
      <c r="C93" s="253" t="s">
        <v>712</v>
      </c>
      <c r="D93" s="233">
        <v>16704</v>
      </c>
      <c r="E93" s="190" t="s">
        <v>106</v>
      </c>
      <c r="F93" s="11" t="s">
        <v>831</v>
      </c>
      <c r="G93" s="189" t="s">
        <v>50</v>
      </c>
      <c r="H93" s="356"/>
      <c r="I93" s="357">
        <v>597.11</v>
      </c>
      <c r="J93" s="216"/>
      <c r="K93" s="211">
        <f t="shared" si="16"/>
        <v>597.11</v>
      </c>
      <c r="L93" s="211">
        <v>99.51</v>
      </c>
      <c r="M93" s="211">
        <f t="shared" si="17"/>
        <v>497.6</v>
      </c>
      <c r="N93" s="212">
        <v>-597.11</v>
      </c>
      <c r="O93" s="212"/>
      <c r="P93" s="212">
        <f t="shared" si="8"/>
        <v>30756.959999999992</v>
      </c>
      <c r="Q93" s="193"/>
    </row>
    <row r="94" spans="1:17" ht="14" x14ac:dyDescent="0.2">
      <c r="A94" s="166">
        <v>45916</v>
      </c>
      <c r="B94" s="167" t="s">
        <v>713</v>
      </c>
      <c r="C94" s="253" t="s">
        <v>953</v>
      </c>
      <c r="D94" s="233" t="s">
        <v>813</v>
      </c>
      <c r="E94" s="190" t="s">
        <v>106</v>
      </c>
      <c r="F94" s="11" t="s">
        <v>831</v>
      </c>
      <c r="G94" s="189" t="s">
        <v>148</v>
      </c>
      <c r="H94" s="356"/>
      <c r="I94" s="357">
        <v>619.84</v>
      </c>
      <c r="J94" s="216"/>
      <c r="K94" s="211">
        <f t="shared" si="16"/>
        <v>619.84</v>
      </c>
      <c r="L94" s="211">
        <v>23.84</v>
      </c>
      <c r="M94" s="211">
        <f t="shared" si="17"/>
        <v>596</v>
      </c>
      <c r="N94" s="212">
        <v>-619.84</v>
      </c>
      <c r="O94" s="212"/>
      <c r="P94" s="212">
        <f t="shared" si="8"/>
        <v>30137.119999999992</v>
      </c>
      <c r="Q94" s="193"/>
    </row>
    <row r="95" spans="1:17" ht="14" x14ac:dyDescent="0.2">
      <c r="A95" s="166">
        <v>45919</v>
      </c>
      <c r="B95" s="167" t="s">
        <v>545</v>
      </c>
      <c r="C95" s="253" t="s">
        <v>611</v>
      </c>
      <c r="D95" s="233">
        <v>464347398</v>
      </c>
      <c r="E95" s="190" t="s">
        <v>106</v>
      </c>
      <c r="F95" s="189"/>
      <c r="G95" s="189" t="s">
        <v>27</v>
      </c>
      <c r="H95" s="356"/>
      <c r="I95" s="357">
        <v>4.25</v>
      </c>
      <c r="J95" s="216"/>
      <c r="K95" s="211">
        <f t="shared" si="16"/>
        <v>4.25</v>
      </c>
      <c r="L95" s="211">
        <v>0</v>
      </c>
      <c r="M95" s="211">
        <f t="shared" si="17"/>
        <v>4.25</v>
      </c>
      <c r="N95" s="212">
        <v>-4.25</v>
      </c>
      <c r="O95" s="212"/>
      <c r="P95" s="212">
        <f t="shared" si="8"/>
        <v>30132.869999999992</v>
      </c>
      <c r="Q95" s="193"/>
    </row>
    <row r="96" spans="1:17" ht="14" x14ac:dyDescent="0.2">
      <c r="A96" s="166">
        <v>45923</v>
      </c>
      <c r="B96" s="167" t="s">
        <v>119</v>
      </c>
      <c r="C96" s="253" t="s">
        <v>715</v>
      </c>
      <c r="D96" s="233" t="s">
        <v>794</v>
      </c>
      <c r="E96" s="190"/>
      <c r="F96" s="189"/>
      <c r="G96" s="189" t="s">
        <v>6</v>
      </c>
      <c r="H96" s="356">
        <v>20</v>
      </c>
      <c r="I96" s="357"/>
      <c r="J96" s="216"/>
      <c r="K96" s="211">
        <f t="shared" si="16"/>
        <v>0</v>
      </c>
      <c r="L96" s="211">
        <v>0</v>
      </c>
      <c r="M96" s="211">
        <f t="shared" si="17"/>
        <v>0</v>
      </c>
      <c r="N96" s="212">
        <v>20</v>
      </c>
      <c r="O96" s="212"/>
      <c r="P96" s="212">
        <f t="shared" si="8"/>
        <v>30152.869999999992</v>
      </c>
      <c r="Q96" s="193"/>
    </row>
    <row r="97" spans="1:17" ht="14" x14ac:dyDescent="0.2">
      <c r="A97" s="166">
        <v>45923</v>
      </c>
      <c r="B97" s="167" t="s">
        <v>119</v>
      </c>
      <c r="C97" s="253" t="s">
        <v>716</v>
      </c>
      <c r="D97" s="233" t="s">
        <v>794</v>
      </c>
      <c r="E97" s="190"/>
      <c r="F97" s="189"/>
      <c r="G97" s="189" t="s">
        <v>6</v>
      </c>
      <c r="H97" s="356">
        <v>40</v>
      </c>
      <c r="I97" s="357"/>
      <c r="J97" s="216"/>
      <c r="K97" s="211">
        <f t="shared" si="16"/>
        <v>0</v>
      </c>
      <c r="L97" s="211">
        <v>0</v>
      </c>
      <c r="M97" s="211">
        <f t="shared" si="17"/>
        <v>0</v>
      </c>
      <c r="N97" s="212">
        <v>40</v>
      </c>
      <c r="O97" s="212"/>
      <c r="P97" s="212">
        <f t="shared" si="8"/>
        <v>30192.869999999992</v>
      </c>
      <c r="Q97" s="193"/>
    </row>
    <row r="98" spans="1:17" ht="14" x14ac:dyDescent="0.2">
      <c r="A98" s="166">
        <v>45923</v>
      </c>
      <c r="B98" s="167" t="s">
        <v>119</v>
      </c>
      <c r="C98" s="253" t="s">
        <v>717</v>
      </c>
      <c r="D98" s="233" t="s">
        <v>794</v>
      </c>
      <c r="E98" s="190"/>
      <c r="F98" s="189"/>
      <c r="G98" s="189" t="s">
        <v>6</v>
      </c>
      <c r="H98" s="356">
        <v>20</v>
      </c>
      <c r="I98" s="357"/>
      <c r="J98" s="216"/>
      <c r="K98" s="211">
        <f t="shared" si="16"/>
        <v>0</v>
      </c>
      <c r="L98" s="211">
        <v>0</v>
      </c>
      <c r="M98" s="211">
        <f t="shared" si="17"/>
        <v>0</v>
      </c>
      <c r="N98" s="212">
        <v>20</v>
      </c>
      <c r="O98" s="212"/>
      <c r="P98" s="212">
        <f t="shared" si="8"/>
        <v>30212.869999999992</v>
      </c>
      <c r="Q98" s="193"/>
    </row>
    <row r="99" spans="1:17" ht="14" x14ac:dyDescent="0.2">
      <c r="A99" s="166">
        <v>45924</v>
      </c>
      <c r="B99" s="167" t="s">
        <v>119</v>
      </c>
      <c r="C99" s="253" t="s">
        <v>718</v>
      </c>
      <c r="D99" s="233" t="s">
        <v>795</v>
      </c>
      <c r="E99" s="190"/>
      <c r="F99" s="189"/>
      <c r="G99" s="189" t="s">
        <v>6</v>
      </c>
      <c r="H99" s="356">
        <v>20</v>
      </c>
      <c r="I99" s="357"/>
      <c r="J99" s="216"/>
      <c r="K99" s="211">
        <f t="shared" si="16"/>
        <v>0</v>
      </c>
      <c r="L99" s="211">
        <v>0</v>
      </c>
      <c r="M99" s="211">
        <f t="shared" si="17"/>
        <v>0</v>
      </c>
      <c r="N99" s="212">
        <v>20</v>
      </c>
      <c r="O99" s="212"/>
      <c r="P99" s="212">
        <f t="shared" si="8"/>
        <v>30232.869999999992</v>
      </c>
      <c r="Q99" s="193"/>
    </row>
    <row r="100" spans="1:17" ht="14" x14ac:dyDescent="0.2">
      <c r="A100" s="166">
        <v>45925</v>
      </c>
      <c r="B100" s="167" t="s">
        <v>119</v>
      </c>
      <c r="C100" s="253" t="s">
        <v>719</v>
      </c>
      <c r="D100" s="233" t="s">
        <v>796</v>
      </c>
      <c r="E100" s="190"/>
      <c r="F100" s="189"/>
      <c r="G100" s="189" t="s">
        <v>6</v>
      </c>
      <c r="H100" s="356">
        <v>20</v>
      </c>
      <c r="I100" s="357"/>
      <c r="J100" s="216"/>
      <c r="K100" s="211">
        <f t="shared" si="16"/>
        <v>0</v>
      </c>
      <c r="L100" s="211">
        <v>0</v>
      </c>
      <c r="M100" s="211">
        <f t="shared" si="17"/>
        <v>0</v>
      </c>
      <c r="N100" s="212">
        <v>20</v>
      </c>
      <c r="O100" s="212"/>
      <c r="P100" s="212">
        <f t="shared" si="8"/>
        <v>30252.869999999992</v>
      </c>
      <c r="Q100" s="193"/>
    </row>
    <row r="101" spans="1:17" ht="14" x14ac:dyDescent="0.2">
      <c r="A101" s="166">
        <v>45926</v>
      </c>
      <c r="B101" s="167" t="s">
        <v>832</v>
      </c>
      <c r="C101" s="253" t="s">
        <v>720</v>
      </c>
      <c r="D101" s="233" t="s">
        <v>808</v>
      </c>
      <c r="E101" s="190" t="s">
        <v>239</v>
      </c>
      <c r="F101" s="189"/>
      <c r="G101" s="189" t="s">
        <v>21</v>
      </c>
      <c r="H101" s="356"/>
      <c r="I101" s="357">
        <v>47</v>
      </c>
      <c r="J101" s="216"/>
      <c r="K101" s="211">
        <f t="shared" si="16"/>
        <v>47</v>
      </c>
      <c r="L101" s="211">
        <v>0</v>
      </c>
      <c r="M101" s="211">
        <f t="shared" si="17"/>
        <v>47</v>
      </c>
      <c r="N101" s="212">
        <v>-47</v>
      </c>
      <c r="O101" s="212"/>
      <c r="P101" s="212">
        <f t="shared" si="8"/>
        <v>30205.869999999992</v>
      </c>
      <c r="Q101" s="193"/>
    </row>
    <row r="102" spans="1:17" ht="14" x14ac:dyDescent="0.2">
      <c r="A102" s="166">
        <v>45929</v>
      </c>
      <c r="B102" s="167" t="s">
        <v>119</v>
      </c>
      <c r="C102" s="253" t="s">
        <v>721</v>
      </c>
      <c r="D102" s="233" t="s">
        <v>798</v>
      </c>
      <c r="E102" s="190"/>
      <c r="F102" s="189"/>
      <c r="G102" s="189" t="s">
        <v>6</v>
      </c>
      <c r="H102" s="356">
        <v>60</v>
      </c>
      <c r="I102" s="357"/>
      <c r="J102" s="216"/>
      <c r="K102" s="211">
        <f t="shared" si="16"/>
        <v>0</v>
      </c>
      <c r="L102" s="211">
        <v>0</v>
      </c>
      <c r="M102" s="211">
        <f t="shared" si="17"/>
        <v>0</v>
      </c>
      <c r="N102" s="212">
        <v>60</v>
      </c>
      <c r="O102" s="212"/>
      <c r="P102" s="212">
        <f t="shared" si="8"/>
        <v>30265.869999999992</v>
      </c>
      <c r="Q102" s="193"/>
    </row>
    <row r="103" spans="1:17" ht="14" x14ac:dyDescent="0.2">
      <c r="A103" s="166">
        <v>45929</v>
      </c>
      <c r="B103" s="167" t="s">
        <v>119</v>
      </c>
      <c r="C103" s="253" t="s">
        <v>722</v>
      </c>
      <c r="D103" s="233" t="s">
        <v>798</v>
      </c>
      <c r="E103" s="190"/>
      <c r="F103" s="189"/>
      <c r="G103" s="189" t="s">
        <v>6</v>
      </c>
      <c r="H103" s="356">
        <v>20</v>
      </c>
      <c r="I103" s="357"/>
      <c r="J103" s="216"/>
      <c r="K103" s="211">
        <f t="shared" si="16"/>
        <v>0</v>
      </c>
      <c r="L103" s="211">
        <v>0</v>
      </c>
      <c r="M103" s="211">
        <f t="shared" si="17"/>
        <v>0</v>
      </c>
      <c r="N103" s="212">
        <v>20</v>
      </c>
      <c r="O103" s="212"/>
      <c r="P103" s="212">
        <f t="shared" si="8"/>
        <v>30285.869999999992</v>
      </c>
      <c r="Q103" s="193"/>
    </row>
    <row r="104" spans="1:17" ht="14" x14ac:dyDescent="0.2">
      <c r="A104" s="166">
        <v>45930</v>
      </c>
      <c r="B104" s="167" t="s">
        <v>119</v>
      </c>
      <c r="C104" s="253" t="s">
        <v>723</v>
      </c>
      <c r="D104" s="233" t="s">
        <v>799</v>
      </c>
      <c r="E104" s="190"/>
      <c r="F104" s="189"/>
      <c r="G104" s="189" t="s">
        <v>6</v>
      </c>
      <c r="H104" s="356">
        <v>20</v>
      </c>
      <c r="I104" s="357"/>
      <c r="J104" s="216"/>
      <c r="K104" s="211">
        <f t="shared" si="16"/>
        <v>0</v>
      </c>
      <c r="L104" s="211">
        <v>0</v>
      </c>
      <c r="M104" s="211">
        <f t="shared" si="17"/>
        <v>0</v>
      </c>
      <c r="N104" s="212">
        <v>20</v>
      </c>
      <c r="O104" s="212"/>
      <c r="P104" s="212">
        <f t="shared" si="8"/>
        <v>30305.869999999992</v>
      </c>
      <c r="Q104" s="193"/>
    </row>
    <row r="105" spans="1:17" ht="14" x14ac:dyDescent="0.2">
      <c r="A105" s="166">
        <v>45931</v>
      </c>
      <c r="B105" s="167" t="s">
        <v>724</v>
      </c>
      <c r="C105" s="253" t="s">
        <v>725</v>
      </c>
      <c r="D105" s="233" t="s">
        <v>814</v>
      </c>
      <c r="E105" s="190" t="s">
        <v>106</v>
      </c>
      <c r="F105" s="11" t="s">
        <v>831</v>
      </c>
      <c r="G105" s="189" t="s">
        <v>48</v>
      </c>
      <c r="H105" s="356"/>
      <c r="I105" s="357">
        <v>536.4</v>
      </c>
      <c r="J105" s="216"/>
      <c r="K105" s="211">
        <f t="shared" si="16"/>
        <v>536.4</v>
      </c>
      <c r="L105" s="211">
        <v>89.4</v>
      </c>
      <c r="M105" s="211">
        <f t="shared" si="17"/>
        <v>447</v>
      </c>
      <c r="N105" s="212">
        <v>-536.4</v>
      </c>
      <c r="O105" s="212"/>
      <c r="P105" s="212">
        <f t="shared" si="8"/>
        <v>29769.46999999999</v>
      </c>
      <c r="Q105" s="193"/>
    </row>
    <row r="106" spans="1:17" ht="14" x14ac:dyDescent="0.2">
      <c r="A106" s="166">
        <v>45931</v>
      </c>
      <c r="B106" s="167" t="s">
        <v>680</v>
      </c>
      <c r="C106" s="253" t="s">
        <v>726</v>
      </c>
      <c r="D106" s="233">
        <v>33932</v>
      </c>
      <c r="E106" s="190" t="s">
        <v>106</v>
      </c>
      <c r="F106" s="11" t="s">
        <v>831</v>
      </c>
      <c r="G106" s="189" t="s">
        <v>38</v>
      </c>
      <c r="H106" s="356"/>
      <c r="I106" s="357">
        <v>150</v>
      </c>
      <c r="J106" s="216"/>
      <c r="K106" s="211">
        <f t="shared" si="16"/>
        <v>150</v>
      </c>
      <c r="L106" s="211">
        <v>25</v>
      </c>
      <c r="M106" s="211">
        <f t="shared" si="15"/>
        <v>125</v>
      </c>
      <c r="N106" s="212">
        <v>-150</v>
      </c>
      <c r="O106" s="212"/>
      <c r="P106" s="212">
        <f t="shared" si="8"/>
        <v>29619.46999999999</v>
      </c>
      <c r="Q106" s="193"/>
    </row>
    <row r="107" spans="1:17" ht="14" x14ac:dyDescent="0.2">
      <c r="A107" s="166">
        <v>45936</v>
      </c>
      <c r="B107" s="189" t="s">
        <v>119</v>
      </c>
      <c r="C107" s="256" t="s">
        <v>727</v>
      </c>
      <c r="D107" s="261" t="s">
        <v>800</v>
      </c>
      <c r="E107" s="190"/>
      <c r="F107" s="189"/>
      <c r="G107" s="189" t="s">
        <v>6</v>
      </c>
      <c r="H107" s="356">
        <v>20</v>
      </c>
      <c r="I107" s="357"/>
      <c r="J107" s="216"/>
      <c r="K107" s="211">
        <f t="shared" si="16"/>
        <v>0</v>
      </c>
      <c r="L107" s="211">
        <v>0</v>
      </c>
      <c r="M107" s="211">
        <f t="shared" si="15"/>
        <v>0</v>
      </c>
      <c r="N107" s="212">
        <v>20</v>
      </c>
      <c r="O107" s="216"/>
      <c r="P107" s="212">
        <f t="shared" si="8"/>
        <v>29639.46999999999</v>
      </c>
      <c r="Q107" s="193"/>
    </row>
    <row r="108" spans="1:17" ht="14" x14ac:dyDescent="0.2">
      <c r="A108" s="166">
        <v>45943</v>
      </c>
      <c r="B108" s="189" t="s">
        <v>728</v>
      </c>
      <c r="C108" s="253" t="s">
        <v>730</v>
      </c>
      <c r="D108" s="233"/>
      <c r="E108" s="214"/>
      <c r="F108" s="215"/>
      <c r="G108" s="189" t="s">
        <v>13</v>
      </c>
      <c r="H108" s="359"/>
      <c r="I108" s="357">
        <v>73.5</v>
      </c>
      <c r="J108" s="257"/>
      <c r="K108" s="211">
        <f t="shared" si="16"/>
        <v>73.5</v>
      </c>
      <c r="L108" s="211">
        <v>0</v>
      </c>
      <c r="M108" s="211">
        <f t="shared" ref="M108:M129" si="18">K108-L108</f>
        <v>73.5</v>
      </c>
      <c r="N108" s="258">
        <v>-105</v>
      </c>
      <c r="O108" s="257"/>
      <c r="P108" s="212">
        <f t="shared" si="8"/>
        <v>29534.46999999999</v>
      </c>
      <c r="Q108" s="217"/>
    </row>
    <row r="109" spans="1:17" ht="14" x14ac:dyDescent="0.2">
      <c r="A109" s="166">
        <v>45943</v>
      </c>
      <c r="B109" s="189" t="s">
        <v>729</v>
      </c>
      <c r="C109" s="253" t="s">
        <v>731</v>
      </c>
      <c r="D109" s="233"/>
      <c r="E109" s="214"/>
      <c r="F109" s="215"/>
      <c r="G109" s="189" t="s">
        <v>13</v>
      </c>
      <c r="H109" s="359"/>
      <c r="I109" s="357">
        <v>294.14</v>
      </c>
      <c r="J109" s="257"/>
      <c r="K109" s="211">
        <f t="shared" si="16"/>
        <v>294.14</v>
      </c>
      <c r="L109" s="211">
        <v>0</v>
      </c>
      <c r="M109" s="211">
        <f t="shared" si="18"/>
        <v>294.14</v>
      </c>
      <c r="N109" s="258">
        <v>-421.33</v>
      </c>
      <c r="O109" s="257"/>
      <c r="P109" s="212">
        <f t="shared" ref="P109:P181" si="19">P108+N109</f>
        <v>29113.139999999989</v>
      </c>
      <c r="Q109" s="217"/>
    </row>
    <row r="110" spans="1:17" ht="14" x14ac:dyDescent="0.2">
      <c r="A110" s="166">
        <v>45943</v>
      </c>
      <c r="B110" s="167" t="s">
        <v>729</v>
      </c>
      <c r="C110" s="253" t="s">
        <v>732</v>
      </c>
      <c r="D110" s="233"/>
      <c r="E110" s="190"/>
      <c r="F110" s="189"/>
      <c r="G110" s="189" t="s">
        <v>19</v>
      </c>
      <c r="H110" s="359"/>
      <c r="I110" s="357">
        <v>1.1299999999999999</v>
      </c>
      <c r="J110" s="257"/>
      <c r="K110" s="211">
        <f t="shared" si="16"/>
        <v>1.1299999999999999</v>
      </c>
      <c r="L110" s="211">
        <v>0</v>
      </c>
      <c r="M110" s="211">
        <f t="shared" si="18"/>
        <v>1.1299999999999999</v>
      </c>
      <c r="N110" s="258"/>
      <c r="O110" s="257"/>
      <c r="P110" s="212">
        <f t="shared" si="19"/>
        <v>29113.139999999989</v>
      </c>
      <c r="Q110" s="217"/>
    </row>
    <row r="111" spans="1:17" ht="14" x14ac:dyDescent="0.2">
      <c r="A111" s="166">
        <v>45943</v>
      </c>
      <c r="B111" s="167" t="s">
        <v>728</v>
      </c>
      <c r="C111" s="253" t="s">
        <v>733</v>
      </c>
      <c r="D111" s="233"/>
      <c r="E111" s="190"/>
      <c r="F111" s="189"/>
      <c r="G111" s="189" t="s">
        <v>17</v>
      </c>
      <c r="H111" s="359"/>
      <c r="I111" s="357">
        <v>31.5</v>
      </c>
      <c r="J111" s="257"/>
      <c r="K111" s="211">
        <f t="shared" si="16"/>
        <v>31.5</v>
      </c>
      <c r="L111" s="211">
        <v>0</v>
      </c>
      <c r="M111" s="211">
        <f t="shared" si="18"/>
        <v>31.5</v>
      </c>
      <c r="N111" s="258"/>
      <c r="O111" s="257"/>
      <c r="P111" s="212">
        <f t="shared" si="19"/>
        <v>29113.139999999989</v>
      </c>
      <c r="Q111" s="217"/>
    </row>
    <row r="112" spans="1:17" ht="14" x14ac:dyDescent="0.2">
      <c r="A112" s="166">
        <v>45943</v>
      </c>
      <c r="B112" s="167" t="s">
        <v>729</v>
      </c>
      <c r="C112" s="253" t="s">
        <v>733</v>
      </c>
      <c r="D112" s="233"/>
      <c r="E112" s="190"/>
      <c r="F112" s="189"/>
      <c r="G112" s="189" t="s">
        <v>17</v>
      </c>
      <c r="H112" s="359"/>
      <c r="I112" s="357">
        <v>126.06</v>
      </c>
      <c r="J112" s="257"/>
      <c r="K112" s="211">
        <f t="shared" si="16"/>
        <v>126.06</v>
      </c>
      <c r="L112" s="211">
        <v>0</v>
      </c>
      <c r="M112" s="211">
        <f t="shared" si="18"/>
        <v>126.06</v>
      </c>
      <c r="N112" s="258"/>
      <c r="O112" s="257"/>
      <c r="P112" s="212">
        <f t="shared" si="19"/>
        <v>29113.139999999989</v>
      </c>
      <c r="Q112" s="217"/>
    </row>
    <row r="113" spans="1:17" ht="14" x14ac:dyDescent="0.2">
      <c r="A113" s="166">
        <v>45943</v>
      </c>
      <c r="B113" s="189" t="s">
        <v>296</v>
      </c>
      <c r="C113" s="256" t="s">
        <v>734</v>
      </c>
      <c r="D113" s="233">
        <v>7263</v>
      </c>
      <c r="E113" s="190" t="s">
        <v>106</v>
      </c>
      <c r="F113" s="189"/>
      <c r="G113" s="189" t="s">
        <v>34</v>
      </c>
      <c r="H113" s="359"/>
      <c r="I113" s="349">
        <v>150</v>
      </c>
      <c r="J113" s="257"/>
      <c r="K113" s="211">
        <f t="shared" si="16"/>
        <v>150</v>
      </c>
      <c r="L113" s="211">
        <v>0</v>
      </c>
      <c r="M113" s="211">
        <f t="shared" si="18"/>
        <v>150</v>
      </c>
      <c r="N113" s="258">
        <v>-150</v>
      </c>
      <c r="O113" s="257"/>
      <c r="P113" s="212">
        <f t="shared" si="19"/>
        <v>28963.139999999989</v>
      </c>
      <c r="Q113" s="217"/>
    </row>
    <row r="114" spans="1:17" ht="14" x14ac:dyDescent="0.2">
      <c r="A114" s="166">
        <v>45943</v>
      </c>
      <c r="B114" s="189" t="s">
        <v>119</v>
      </c>
      <c r="C114" s="256" t="s">
        <v>735</v>
      </c>
      <c r="D114" s="233" t="s">
        <v>801</v>
      </c>
      <c r="E114" s="190"/>
      <c r="F114" s="189"/>
      <c r="G114" s="189" t="s">
        <v>6</v>
      </c>
      <c r="H114" s="359">
        <v>20</v>
      </c>
      <c r="I114" s="349"/>
      <c r="J114" s="257"/>
      <c r="K114" s="211">
        <f t="shared" si="16"/>
        <v>0</v>
      </c>
      <c r="L114" s="211">
        <v>0</v>
      </c>
      <c r="M114" s="211">
        <f t="shared" si="18"/>
        <v>0</v>
      </c>
      <c r="N114" s="258">
        <v>20</v>
      </c>
      <c r="O114" s="257"/>
      <c r="P114" s="212">
        <f t="shared" si="19"/>
        <v>28983.139999999989</v>
      </c>
      <c r="Q114" s="217"/>
    </row>
    <row r="115" spans="1:17" ht="14" x14ac:dyDescent="0.2">
      <c r="A115" s="166">
        <v>45945</v>
      </c>
      <c r="B115" s="189" t="s">
        <v>119</v>
      </c>
      <c r="C115" s="256" t="s">
        <v>736</v>
      </c>
      <c r="D115" s="233" t="s">
        <v>802</v>
      </c>
      <c r="E115" s="190"/>
      <c r="F115" s="189"/>
      <c r="G115" s="189" t="s">
        <v>6</v>
      </c>
      <c r="H115" s="359">
        <v>20</v>
      </c>
      <c r="I115" s="349"/>
      <c r="J115" s="257"/>
      <c r="K115" s="211">
        <f t="shared" si="16"/>
        <v>0</v>
      </c>
      <c r="L115" s="211">
        <v>0</v>
      </c>
      <c r="M115" s="211">
        <f t="shared" si="18"/>
        <v>0</v>
      </c>
      <c r="N115" s="258">
        <v>20</v>
      </c>
      <c r="O115" s="257"/>
      <c r="P115" s="212">
        <f t="shared" si="19"/>
        <v>29003.139999999989</v>
      </c>
      <c r="Q115" s="217"/>
    </row>
    <row r="116" spans="1:17" ht="14" x14ac:dyDescent="0.2">
      <c r="A116" s="166">
        <v>45945</v>
      </c>
      <c r="B116" s="189" t="s">
        <v>577</v>
      </c>
      <c r="C116" s="253" t="s">
        <v>737</v>
      </c>
      <c r="D116" s="233">
        <v>16754</v>
      </c>
      <c r="E116" s="190" t="s">
        <v>106</v>
      </c>
      <c r="F116" s="11" t="s">
        <v>831</v>
      </c>
      <c r="G116" s="189" t="s">
        <v>50</v>
      </c>
      <c r="H116" s="359"/>
      <c r="I116" s="349">
        <v>597.11</v>
      </c>
      <c r="J116" s="257"/>
      <c r="K116" s="211">
        <f t="shared" si="16"/>
        <v>597.11</v>
      </c>
      <c r="L116" s="211">
        <v>99.51</v>
      </c>
      <c r="M116" s="211">
        <f t="shared" si="18"/>
        <v>497.6</v>
      </c>
      <c r="N116" s="258">
        <v>-597.11</v>
      </c>
      <c r="O116" s="257"/>
      <c r="P116" s="212">
        <f t="shared" si="19"/>
        <v>28406.029999999988</v>
      </c>
      <c r="Q116" s="217"/>
    </row>
    <row r="117" spans="1:17" ht="14" x14ac:dyDescent="0.2">
      <c r="A117" s="166">
        <v>45945</v>
      </c>
      <c r="B117" s="189" t="s">
        <v>119</v>
      </c>
      <c r="C117" s="256" t="s">
        <v>738</v>
      </c>
      <c r="D117" s="233" t="s">
        <v>803</v>
      </c>
      <c r="E117" s="190"/>
      <c r="F117" s="189"/>
      <c r="G117" s="189" t="s">
        <v>6</v>
      </c>
      <c r="H117" s="359">
        <v>20</v>
      </c>
      <c r="I117" s="349"/>
      <c r="J117" s="257"/>
      <c r="K117" s="211">
        <f t="shared" si="16"/>
        <v>0</v>
      </c>
      <c r="L117" s="211">
        <v>0</v>
      </c>
      <c r="M117" s="211">
        <f t="shared" si="18"/>
        <v>0</v>
      </c>
      <c r="N117" s="258">
        <v>20</v>
      </c>
      <c r="O117" s="257"/>
      <c r="P117" s="212">
        <f t="shared" si="19"/>
        <v>28426.029999999988</v>
      </c>
      <c r="Q117" s="217"/>
    </row>
    <row r="118" spans="1:17" ht="14" x14ac:dyDescent="0.2">
      <c r="A118" s="166">
        <v>45950</v>
      </c>
      <c r="B118" s="189" t="s">
        <v>119</v>
      </c>
      <c r="C118" s="256" t="s">
        <v>739</v>
      </c>
      <c r="D118" s="233" t="s">
        <v>804</v>
      </c>
      <c r="E118" s="190"/>
      <c r="F118" s="189"/>
      <c r="G118" s="189" t="s">
        <v>6</v>
      </c>
      <c r="H118" s="359">
        <v>20</v>
      </c>
      <c r="I118" s="349"/>
      <c r="J118" s="257"/>
      <c r="K118" s="211">
        <f t="shared" si="16"/>
        <v>0</v>
      </c>
      <c r="L118" s="211">
        <v>0</v>
      </c>
      <c r="M118" s="211">
        <f t="shared" si="18"/>
        <v>0</v>
      </c>
      <c r="N118" s="258">
        <v>20</v>
      </c>
      <c r="O118" s="257"/>
      <c r="P118" s="212">
        <f t="shared" si="19"/>
        <v>28446.029999999988</v>
      </c>
      <c r="Q118" s="217"/>
    </row>
    <row r="119" spans="1:17" ht="14" x14ac:dyDescent="0.2">
      <c r="A119" s="166">
        <v>45950</v>
      </c>
      <c r="B119" s="189" t="s">
        <v>545</v>
      </c>
      <c r="C119" s="256" t="s">
        <v>611</v>
      </c>
      <c r="D119" s="237">
        <v>466775206</v>
      </c>
      <c r="E119" s="190" t="s">
        <v>106</v>
      </c>
      <c r="F119" s="189"/>
      <c r="G119" s="189" t="s">
        <v>27</v>
      </c>
      <c r="H119" s="359"/>
      <c r="I119" s="349">
        <v>4.25</v>
      </c>
      <c r="J119" s="257"/>
      <c r="K119" s="211">
        <f t="shared" si="16"/>
        <v>4.25</v>
      </c>
      <c r="L119" s="211">
        <v>0</v>
      </c>
      <c r="M119" s="211">
        <f t="shared" si="18"/>
        <v>4.25</v>
      </c>
      <c r="N119" s="258">
        <v>-4.25</v>
      </c>
      <c r="O119" s="257"/>
      <c r="P119" s="212">
        <f t="shared" si="19"/>
        <v>28441.779999999988</v>
      </c>
      <c r="Q119" s="217"/>
    </row>
    <row r="120" spans="1:17" ht="14" x14ac:dyDescent="0.2">
      <c r="A120" s="166">
        <v>45952</v>
      </c>
      <c r="B120" s="189" t="s">
        <v>119</v>
      </c>
      <c r="C120" s="256" t="s">
        <v>740</v>
      </c>
      <c r="D120" s="233" t="s">
        <v>805</v>
      </c>
      <c r="E120" s="190"/>
      <c r="F120" s="189"/>
      <c r="G120" s="189" t="s">
        <v>6</v>
      </c>
      <c r="H120" s="359">
        <v>20</v>
      </c>
      <c r="I120" s="349"/>
      <c r="J120" s="257"/>
      <c r="K120" s="211">
        <f t="shared" si="16"/>
        <v>0</v>
      </c>
      <c r="L120" s="211">
        <v>0</v>
      </c>
      <c r="M120" s="211">
        <f t="shared" si="18"/>
        <v>0</v>
      </c>
      <c r="N120" s="258">
        <v>20</v>
      </c>
      <c r="O120" s="257"/>
      <c r="P120" s="212">
        <f t="shared" si="19"/>
        <v>28461.779999999988</v>
      </c>
      <c r="Q120" s="217"/>
    </row>
    <row r="121" spans="1:17" ht="28" x14ac:dyDescent="0.2">
      <c r="A121" s="166">
        <v>45953</v>
      </c>
      <c r="B121" s="189" t="s">
        <v>96</v>
      </c>
      <c r="C121" s="254" t="s">
        <v>741</v>
      </c>
      <c r="D121" s="233">
        <v>9052587</v>
      </c>
      <c r="E121" s="190" t="s">
        <v>106</v>
      </c>
      <c r="F121" s="189"/>
      <c r="G121" s="189" t="s">
        <v>48</v>
      </c>
      <c r="H121" s="359"/>
      <c r="I121" s="349">
        <v>150.74</v>
      </c>
      <c r="J121" s="257"/>
      <c r="K121" s="211">
        <f t="shared" si="16"/>
        <v>150.74</v>
      </c>
      <c r="L121" s="211">
        <v>0</v>
      </c>
      <c r="M121" s="211">
        <f t="shared" si="18"/>
        <v>150.74</v>
      </c>
      <c r="N121" s="258">
        <v>-150.74</v>
      </c>
      <c r="O121" s="257"/>
      <c r="P121" s="212">
        <f t="shared" si="19"/>
        <v>28311.039999999986</v>
      </c>
      <c r="Q121" s="217"/>
    </row>
    <row r="122" spans="1:17" ht="28" x14ac:dyDescent="0.2">
      <c r="A122" s="166">
        <v>45957</v>
      </c>
      <c r="B122" s="189" t="s">
        <v>742</v>
      </c>
      <c r="C122" s="256" t="s">
        <v>743</v>
      </c>
      <c r="D122" s="233" t="s">
        <v>239</v>
      </c>
      <c r="E122" s="190" t="s">
        <v>106</v>
      </c>
      <c r="F122" s="189"/>
      <c r="G122" s="189" t="s">
        <v>98</v>
      </c>
      <c r="H122" s="359"/>
      <c r="I122" s="349">
        <v>50</v>
      </c>
      <c r="J122" s="257"/>
      <c r="K122" s="211">
        <f t="shared" si="16"/>
        <v>50</v>
      </c>
      <c r="L122" s="211">
        <v>0</v>
      </c>
      <c r="M122" s="211">
        <f t="shared" si="18"/>
        <v>50</v>
      </c>
      <c r="N122" s="258">
        <v>-50</v>
      </c>
      <c r="O122" s="257"/>
      <c r="P122" s="212">
        <f t="shared" si="19"/>
        <v>28261.039999999986</v>
      </c>
      <c r="Q122" s="217"/>
    </row>
    <row r="123" spans="1:17" ht="14" x14ac:dyDescent="0.2">
      <c r="A123" s="166">
        <v>45959</v>
      </c>
      <c r="B123" s="189" t="s">
        <v>680</v>
      </c>
      <c r="C123" s="256" t="s">
        <v>744</v>
      </c>
      <c r="D123" s="233">
        <v>34009</v>
      </c>
      <c r="E123" s="190" t="s">
        <v>106</v>
      </c>
      <c r="F123" s="11" t="s">
        <v>831</v>
      </c>
      <c r="G123" s="189" t="s">
        <v>38</v>
      </c>
      <c r="H123" s="359"/>
      <c r="I123" s="349">
        <v>120</v>
      </c>
      <c r="J123" s="257"/>
      <c r="K123" s="211">
        <f t="shared" si="16"/>
        <v>120</v>
      </c>
      <c r="L123" s="211">
        <v>20</v>
      </c>
      <c r="M123" s="211">
        <f t="shared" si="18"/>
        <v>100</v>
      </c>
      <c r="N123" s="258">
        <v>-120</v>
      </c>
      <c r="O123" s="257"/>
      <c r="P123" s="212">
        <f t="shared" si="19"/>
        <v>28141.039999999986</v>
      </c>
    </row>
    <row r="124" spans="1:17" ht="14" x14ac:dyDescent="0.2">
      <c r="A124" s="166">
        <v>45964</v>
      </c>
      <c r="B124" s="189" t="s">
        <v>119</v>
      </c>
      <c r="C124" s="256" t="s">
        <v>745</v>
      </c>
      <c r="D124" s="233" t="s">
        <v>797</v>
      </c>
      <c r="E124" s="190"/>
      <c r="F124" s="189"/>
      <c r="G124" s="189" t="s">
        <v>9</v>
      </c>
      <c r="H124" s="359">
        <v>161</v>
      </c>
      <c r="I124" s="349"/>
      <c r="J124" s="257"/>
      <c r="K124" s="211">
        <f t="shared" si="16"/>
        <v>0</v>
      </c>
      <c r="L124" s="211">
        <v>0</v>
      </c>
      <c r="M124" s="211">
        <f t="shared" si="18"/>
        <v>0</v>
      </c>
      <c r="N124" s="258">
        <v>161</v>
      </c>
      <c r="O124" s="257"/>
      <c r="P124" s="212">
        <f t="shared" si="19"/>
        <v>28302.039999999986</v>
      </c>
      <c r="Q124" s="217"/>
    </row>
    <row r="125" spans="1:17" ht="14" x14ac:dyDescent="0.2">
      <c r="A125" s="166">
        <v>45964</v>
      </c>
      <c r="B125" s="189" t="s">
        <v>119</v>
      </c>
      <c r="C125" s="256" t="s">
        <v>746</v>
      </c>
      <c r="D125" s="233" t="s">
        <v>797</v>
      </c>
      <c r="E125" s="190"/>
      <c r="F125" s="189"/>
      <c r="G125" s="189" t="s">
        <v>6</v>
      </c>
      <c r="H125" s="359">
        <v>20</v>
      </c>
      <c r="I125" s="349"/>
      <c r="J125" s="257"/>
      <c r="K125" s="211">
        <f t="shared" si="16"/>
        <v>0</v>
      </c>
      <c r="L125" s="211">
        <v>0</v>
      </c>
      <c r="M125" s="211">
        <f t="shared" si="18"/>
        <v>0</v>
      </c>
      <c r="N125" s="258">
        <v>20</v>
      </c>
      <c r="O125" s="257"/>
      <c r="P125" s="212">
        <f t="shared" si="19"/>
        <v>28322.039999999986</v>
      </c>
      <c r="Q125" s="217"/>
    </row>
    <row r="126" spans="1:17" ht="14" x14ac:dyDescent="0.2">
      <c r="A126" s="166">
        <v>45964</v>
      </c>
      <c r="B126" s="189" t="s">
        <v>119</v>
      </c>
      <c r="C126" s="256" t="s">
        <v>747</v>
      </c>
      <c r="D126" s="233" t="s">
        <v>797</v>
      </c>
      <c r="E126" s="190"/>
      <c r="F126" s="189"/>
      <c r="G126" s="189" t="s">
        <v>6</v>
      </c>
      <c r="H126" s="359">
        <v>20</v>
      </c>
      <c r="I126" s="349"/>
      <c r="J126" s="257"/>
      <c r="K126" s="211">
        <f t="shared" si="16"/>
        <v>0</v>
      </c>
      <c r="L126" s="211">
        <v>0</v>
      </c>
      <c r="M126" s="211">
        <f t="shared" si="18"/>
        <v>0</v>
      </c>
      <c r="N126" s="258">
        <v>20</v>
      </c>
      <c r="O126" s="257"/>
      <c r="P126" s="212">
        <f t="shared" si="19"/>
        <v>28342.039999999986</v>
      </c>
      <c r="Q126" s="217"/>
    </row>
    <row r="127" spans="1:17" ht="14" x14ac:dyDescent="0.2">
      <c r="A127" s="166">
        <v>45966</v>
      </c>
      <c r="B127" s="189" t="s">
        <v>507</v>
      </c>
      <c r="C127" s="256" t="s">
        <v>748</v>
      </c>
      <c r="D127" s="233" t="s">
        <v>239</v>
      </c>
      <c r="E127" s="190"/>
      <c r="F127" s="189"/>
      <c r="G127" s="189" t="s">
        <v>156</v>
      </c>
      <c r="H127" s="359"/>
      <c r="I127" s="349">
        <v>75.260000000000005</v>
      </c>
      <c r="J127" s="257"/>
      <c r="K127" s="211">
        <f t="shared" si="16"/>
        <v>75.260000000000005</v>
      </c>
      <c r="L127" s="211">
        <v>0</v>
      </c>
      <c r="M127" s="211">
        <f t="shared" si="18"/>
        <v>75.260000000000005</v>
      </c>
      <c r="N127" s="258">
        <v>-75.260000000000005</v>
      </c>
      <c r="O127" s="257"/>
      <c r="P127" s="212">
        <f t="shared" si="19"/>
        <v>28266.779999999988</v>
      </c>
      <c r="Q127" s="217"/>
    </row>
    <row r="128" spans="1:17" ht="14" x14ac:dyDescent="0.2">
      <c r="A128" s="166">
        <v>45966</v>
      </c>
      <c r="B128" s="189" t="s">
        <v>380</v>
      </c>
      <c r="C128" s="256" t="s">
        <v>749</v>
      </c>
      <c r="D128" s="233" t="s">
        <v>815</v>
      </c>
      <c r="E128" s="190" t="s">
        <v>106</v>
      </c>
      <c r="F128" s="11" t="s">
        <v>831</v>
      </c>
      <c r="G128" s="189" t="s">
        <v>156</v>
      </c>
      <c r="H128" s="359"/>
      <c r="I128" s="349">
        <v>31.99</v>
      </c>
      <c r="J128" s="257"/>
      <c r="K128" s="211">
        <f t="shared" si="16"/>
        <v>31.99</v>
      </c>
      <c r="L128" s="211">
        <v>5.33</v>
      </c>
      <c r="M128" s="211">
        <f t="shared" si="18"/>
        <v>26.659999999999997</v>
      </c>
      <c r="N128" s="258">
        <v>-31.99</v>
      </c>
      <c r="O128" s="257"/>
      <c r="P128" s="212">
        <f t="shared" si="19"/>
        <v>28234.789999999986</v>
      </c>
      <c r="Q128" s="217"/>
    </row>
    <row r="129" spans="1:16" ht="14" x14ac:dyDescent="0.2">
      <c r="A129" s="166">
        <v>45966</v>
      </c>
      <c r="B129" s="189" t="s">
        <v>380</v>
      </c>
      <c r="C129" s="256" t="s">
        <v>750</v>
      </c>
      <c r="D129" s="233">
        <v>488963</v>
      </c>
      <c r="E129" s="190" t="s">
        <v>106</v>
      </c>
      <c r="F129" s="11" t="s">
        <v>831</v>
      </c>
      <c r="G129" s="189" t="s">
        <v>156</v>
      </c>
      <c r="H129" s="359"/>
      <c r="I129" s="349">
        <v>148.68</v>
      </c>
      <c r="J129" s="257"/>
      <c r="K129" s="211">
        <f t="shared" si="16"/>
        <v>148.68</v>
      </c>
      <c r="L129" s="211">
        <v>24.78</v>
      </c>
      <c r="M129" s="211">
        <f t="shared" si="18"/>
        <v>123.9</v>
      </c>
      <c r="N129" s="258">
        <v>-148.68</v>
      </c>
      <c r="O129" s="257"/>
      <c r="P129" s="212">
        <f t="shared" si="19"/>
        <v>28086.109999999986</v>
      </c>
    </row>
    <row r="130" spans="1:16" ht="14" x14ac:dyDescent="0.2">
      <c r="A130" s="166">
        <v>45979</v>
      </c>
      <c r="B130" s="189" t="s">
        <v>754</v>
      </c>
      <c r="C130" s="253" t="s">
        <v>756</v>
      </c>
      <c r="D130" s="233"/>
      <c r="E130" s="214"/>
      <c r="F130" s="215"/>
      <c r="G130" s="189" t="s">
        <v>13</v>
      </c>
      <c r="H130" s="359"/>
      <c r="I130" s="357">
        <v>73.5</v>
      </c>
      <c r="J130" s="257"/>
      <c r="K130" s="211">
        <f t="shared" si="16"/>
        <v>73.5</v>
      </c>
      <c r="L130" s="211">
        <v>0</v>
      </c>
      <c r="M130" s="211">
        <f t="shared" ref="M130:M148" si="20">K130-L130</f>
        <v>73.5</v>
      </c>
      <c r="N130" s="258">
        <v>-421.33</v>
      </c>
      <c r="O130" s="257"/>
      <c r="P130" s="212">
        <f t="shared" si="19"/>
        <v>27664.779999999984</v>
      </c>
    </row>
    <row r="131" spans="1:16" ht="14" x14ac:dyDescent="0.2">
      <c r="A131" s="166">
        <v>45979</v>
      </c>
      <c r="B131" s="189" t="s">
        <v>755</v>
      </c>
      <c r="C131" s="253" t="s">
        <v>757</v>
      </c>
      <c r="D131" s="233"/>
      <c r="E131" s="214"/>
      <c r="F131" s="215"/>
      <c r="G131" s="189" t="s">
        <v>13</v>
      </c>
      <c r="H131" s="359"/>
      <c r="I131" s="357">
        <v>294.14</v>
      </c>
      <c r="J131" s="257"/>
      <c r="K131" s="211">
        <f t="shared" si="16"/>
        <v>294.14</v>
      </c>
      <c r="L131" s="211">
        <v>0</v>
      </c>
      <c r="M131" s="211">
        <f t="shared" si="20"/>
        <v>294.14</v>
      </c>
      <c r="N131" s="258">
        <v>-105</v>
      </c>
      <c r="O131" s="257"/>
      <c r="P131" s="212">
        <f t="shared" si="19"/>
        <v>27559.779999999984</v>
      </c>
    </row>
    <row r="132" spans="1:16" ht="14" x14ac:dyDescent="0.2">
      <c r="A132" s="166">
        <v>45979</v>
      </c>
      <c r="B132" s="167" t="s">
        <v>755</v>
      </c>
      <c r="C132" s="253" t="s">
        <v>758</v>
      </c>
      <c r="D132" s="233"/>
      <c r="E132" s="190"/>
      <c r="F132" s="189"/>
      <c r="G132" s="189" t="s">
        <v>19</v>
      </c>
      <c r="H132" s="359"/>
      <c r="I132" s="357">
        <v>1.1299999999999999</v>
      </c>
      <c r="J132" s="257"/>
      <c r="K132" s="211">
        <f t="shared" si="16"/>
        <v>1.1299999999999999</v>
      </c>
      <c r="L132" s="211">
        <v>0</v>
      </c>
      <c r="M132" s="211">
        <f t="shared" si="20"/>
        <v>1.1299999999999999</v>
      </c>
      <c r="N132" s="258"/>
      <c r="O132" s="257"/>
      <c r="P132" s="212">
        <f t="shared" si="19"/>
        <v>27559.779999999984</v>
      </c>
    </row>
    <row r="133" spans="1:16" ht="14" x14ac:dyDescent="0.2">
      <c r="A133" s="166">
        <v>45979</v>
      </c>
      <c r="B133" s="167" t="s">
        <v>754</v>
      </c>
      <c r="C133" s="253" t="s">
        <v>759</v>
      </c>
      <c r="D133" s="233"/>
      <c r="E133" s="190"/>
      <c r="F133" s="189"/>
      <c r="G133" s="189" t="s">
        <v>17</v>
      </c>
      <c r="H133" s="359"/>
      <c r="I133" s="357">
        <v>31.5</v>
      </c>
      <c r="J133" s="257"/>
      <c r="K133" s="211">
        <f t="shared" si="16"/>
        <v>31.5</v>
      </c>
      <c r="L133" s="211">
        <v>0</v>
      </c>
      <c r="M133" s="211">
        <f t="shared" si="20"/>
        <v>31.5</v>
      </c>
      <c r="N133" s="258"/>
      <c r="O133" s="257"/>
      <c r="P133" s="212">
        <f t="shared" si="19"/>
        <v>27559.779999999984</v>
      </c>
    </row>
    <row r="134" spans="1:16" ht="14" x14ac:dyDescent="0.2">
      <c r="A134" s="166">
        <v>45979</v>
      </c>
      <c r="B134" s="167" t="s">
        <v>755</v>
      </c>
      <c r="C134" s="253" t="s">
        <v>759</v>
      </c>
      <c r="D134" s="233"/>
      <c r="E134" s="190"/>
      <c r="F134" s="189"/>
      <c r="G134" s="189" t="s">
        <v>17</v>
      </c>
      <c r="H134" s="359"/>
      <c r="I134" s="357">
        <v>126.06</v>
      </c>
      <c r="J134" s="257"/>
      <c r="K134" s="211">
        <f t="shared" si="16"/>
        <v>126.06</v>
      </c>
      <c r="L134" s="211">
        <v>0</v>
      </c>
      <c r="M134" s="211">
        <f t="shared" si="20"/>
        <v>126.06</v>
      </c>
      <c r="N134" s="258"/>
      <c r="O134" s="257"/>
      <c r="P134" s="212">
        <f t="shared" si="19"/>
        <v>27559.779999999984</v>
      </c>
    </row>
    <row r="135" spans="1:16" ht="14" x14ac:dyDescent="0.2">
      <c r="A135" s="166">
        <v>45979</v>
      </c>
      <c r="B135" s="167" t="s">
        <v>545</v>
      </c>
      <c r="C135" s="256" t="s">
        <v>611</v>
      </c>
      <c r="D135" s="233">
        <v>469529501</v>
      </c>
      <c r="E135" s="190" t="s">
        <v>106</v>
      </c>
      <c r="F135" s="189"/>
      <c r="G135" s="189" t="s">
        <v>27</v>
      </c>
      <c r="H135" s="359"/>
      <c r="I135" s="349">
        <v>4.25</v>
      </c>
      <c r="J135" s="257"/>
      <c r="K135" s="211">
        <f t="shared" si="16"/>
        <v>4.25</v>
      </c>
      <c r="L135" s="211"/>
      <c r="M135" s="211">
        <f t="shared" si="20"/>
        <v>4.25</v>
      </c>
      <c r="N135" s="258">
        <v>-4.25</v>
      </c>
      <c r="O135" s="257"/>
      <c r="P135" s="212">
        <f t="shared" si="19"/>
        <v>27555.529999999984</v>
      </c>
    </row>
    <row r="136" spans="1:16" ht="14" x14ac:dyDescent="0.2">
      <c r="A136" s="166">
        <v>45985</v>
      </c>
      <c r="B136" s="189" t="s">
        <v>760</v>
      </c>
      <c r="C136" s="256" t="s">
        <v>761</v>
      </c>
      <c r="D136" s="233"/>
      <c r="E136" s="190"/>
      <c r="F136" s="189"/>
      <c r="G136" s="189" t="s">
        <v>624</v>
      </c>
      <c r="H136" s="359"/>
      <c r="I136" s="349">
        <v>112.83</v>
      </c>
      <c r="J136" s="257"/>
      <c r="K136" s="211">
        <f t="shared" si="16"/>
        <v>112.83</v>
      </c>
      <c r="L136" s="211">
        <v>0</v>
      </c>
      <c r="M136" s="211">
        <f t="shared" si="20"/>
        <v>112.83</v>
      </c>
      <c r="N136" s="258">
        <v>-112.83</v>
      </c>
      <c r="O136" s="257"/>
      <c r="P136" s="212">
        <f t="shared" si="19"/>
        <v>27442.699999999983</v>
      </c>
    </row>
    <row r="137" spans="1:16" ht="14" x14ac:dyDescent="0.2">
      <c r="A137" s="166">
        <v>45985</v>
      </c>
      <c r="B137" s="189" t="s">
        <v>577</v>
      </c>
      <c r="C137" s="253" t="s">
        <v>762</v>
      </c>
      <c r="D137" s="233">
        <v>16811</v>
      </c>
      <c r="E137" s="190" t="s">
        <v>106</v>
      </c>
      <c r="F137" s="11" t="s">
        <v>831</v>
      </c>
      <c r="G137" s="189" t="s">
        <v>50</v>
      </c>
      <c r="H137" s="359"/>
      <c r="I137" s="349">
        <v>597.11</v>
      </c>
      <c r="J137" s="257"/>
      <c r="K137" s="211">
        <f t="shared" si="16"/>
        <v>597.11</v>
      </c>
      <c r="L137" s="211">
        <v>99.51</v>
      </c>
      <c r="M137" s="211">
        <f t="shared" si="20"/>
        <v>497.6</v>
      </c>
      <c r="N137" s="258">
        <v>-597.11</v>
      </c>
      <c r="O137" s="257"/>
      <c r="P137" s="212">
        <f t="shared" si="19"/>
        <v>26845.589999999982</v>
      </c>
    </row>
    <row r="138" spans="1:16" ht="14" x14ac:dyDescent="0.2">
      <c r="A138" s="166">
        <v>45985</v>
      </c>
      <c r="B138" s="189" t="s">
        <v>328</v>
      </c>
      <c r="C138" s="256" t="s">
        <v>763</v>
      </c>
      <c r="D138" s="233" t="s">
        <v>816</v>
      </c>
      <c r="E138" s="190" t="s">
        <v>106</v>
      </c>
      <c r="F138" s="11" t="s">
        <v>831</v>
      </c>
      <c r="G138" s="189" t="s">
        <v>19</v>
      </c>
      <c r="H138" s="359"/>
      <c r="I138" s="349">
        <v>95.88</v>
      </c>
      <c r="J138" s="257"/>
      <c r="K138" s="211">
        <f t="shared" si="16"/>
        <v>95.88</v>
      </c>
      <c r="L138" s="211">
        <v>15.98</v>
      </c>
      <c r="M138" s="211">
        <f t="shared" si="20"/>
        <v>79.899999999999991</v>
      </c>
      <c r="N138" s="258">
        <v>-95.88</v>
      </c>
      <c r="O138" s="257"/>
      <c r="P138" s="212">
        <f t="shared" si="19"/>
        <v>26749.709999999981</v>
      </c>
    </row>
    <row r="139" spans="1:16" ht="14" x14ac:dyDescent="0.2">
      <c r="A139" s="166">
        <v>45985</v>
      </c>
      <c r="B139" s="189" t="s">
        <v>328</v>
      </c>
      <c r="C139" s="256" t="s">
        <v>764</v>
      </c>
      <c r="D139" s="233" t="s">
        <v>249</v>
      </c>
      <c r="E139" s="190" t="s">
        <v>106</v>
      </c>
      <c r="F139" s="266" t="s">
        <v>828</v>
      </c>
      <c r="G139" s="189" t="s">
        <v>19</v>
      </c>
      <c r="H139" s="359"/>
      <c r="I139" s="349">
        <v>95.88</v>
      </c>
      <c r="J139" s="257"/>
      <c r="K139" s="211">
        <f t="shared" si="16"/>
        <v>95.88</v>
      </c>
      <c r="L139" s="211"/>
      <c r="M139" s="211">
        <f t="shared" si="20"/>
        <v>95.88</v>
      </c>
      <c r="N139" s="258">
        <v>-191.76</v>
      </c>
      <c r="O139" s="257"/>
      <c r="P139" s="212">
        <f t="shared" si="19"/>
        <v>26557.949999999983</v>
      </c>
    </row>
    <row r="140" spans="1:16" ht="14" x14ac:dyDescent="0.2">
      <c r="A140" s="166">
        <v>45985</v>
      </c>
      <c r="B140" s="189" t="s">
        <v>328</v>
      </c>
      <c r="C140" s="256" t="s">
        <v>765</v>
      </c>
      <c r="D140" s="233" t="s">
        <v>249</v>
      </c>
      <c r="E140" s="190" t="s">
        <v>106</v>
      </c>
      <c r="F140" s="266" t="s">
        <v>828</v>
      </c>
      <c r="G140" s="189" t="s">
        <v>19</v>
      </c>
      <c r="H140" s="359"/>
      <c r="I140" s="349">
        <v>95.88</v>
      </c>
      <c r="J140" s="257"/>
      <c r="K140" s="211">
        <f t="shared" si="16"/>
        <v>95.88</v>
      </c>
      <c r="L140" s="211"/>
      <c r="M140" s="211">
        <f t="shared" si="20"/>
        <v>95.88</v>
      </c>
      <c r="N140" s="258"/>
      <c r="O140" s="257"/>
      <c r="P140" s="212">
        <f t="shared" si="19"/>
        <v>26557.949999999983</v>
      </c>
    </row>
    <row r="141" spans="1:16" ht="14" x14ac:dyDescent="0.2">
      <c r="A141" s="166">
        <v>45985</v>
      </c>
      <c r="B141" s="189" t="s">
        <v>767</v>
      </c>
      <c r="C141" s="256" t="s">
        <v>766</v>
      </c>
      <c r="D141" s="233" t="s">
        <v>817</v>
      </c>
      <c r="E141" s="190" t="s">
        <v>106</v>
      </c>
      <c r="F141" s="11" t="s">
        <v>831</v>
      </c>
      <c r="G141" s="189" t="s">
        <v>19</v>
      </c>
      <c r="H141" s="359"/>
      <c r="I141" s="349">
        <v>11.93</v>
      </c>
      <c r="J141" s="257"/>
      <c r="K141" s="211">
        <f t="shared" si="16"/>
        <v>11.93</v>
      </c>
      <c r="L141" s="211">
        <v>2.65</v>
      </c>
      <c r="M141" s="211">
        <f t="shared" si="20"/>
        <v>9.2799999999999994</v>
      </c>
      <c r="N141" s="258">
        <v>-11.93</v>
      </c>
      <c r="O141" s="257"/>
      <c r="P141" s="212">
        <f t="shared" si="19"/>
        <v>26546.019999999982</v>
      </c>
    </row>
    <row r="142" spans="1:16" ht="14" x14ac:dyDescent="0.2">
      <c r="A142" s="166">
        <v>45985</v>
      </c>
      <c r="B142" s="189" t="s">
        <v>261</v>
      </c>
      <c r="C142" s="256" t="s">
        <v>768</v>
      </c>
      <c r="D142" s="233" t="s">
        <v>818</v>
      </c>
      <c r="E142" s="190" t="s">
        <v>106</v>
      </c>
      <c r="F142" s="11" t="s">
        <v>831</v>
      </c>
      <c r="G142" s="189" t="s">
        <v>150</v>
      </c>
      <c r="H142" s="359"/>
      <c r="I142" s="349">
        <v>321</v>
      </c>
      <c r="J142" s="257"/>
      <c r="K142" s="211">
        <f t="shared" si="16"/>
        <v>321</v>
      </c>
      <c r="L142" s="211">
        <v>53.5</v>
      </c>
      <c r="M142" s="211">
        <f t="shared" si="20"/>
        <v>267.5</v>
      </c>
      <c r="N142" s="258">
        <v>-321</v>
      </c>
      <c r="O142" s="257"/>
      <c r="P142" s="212">
        <f t="shared" si="19"/>
        <v>26225.019999999982</v>
      </c>
    </row>
    <row r="143" spans="1:16" ht="14" x14ac:dyDescent="0.2">
      <c r="A143" s="166">
        <v>45985</v>
      </c>
      <c r="B143" s="189" t="s">
        <v>680</v>
      </c>
      <c r="C143" s="256" t="s">
        <v>769</v>
      </c>
      <c r="D143" s="233">
        <v>34080</v>
      </c>
      <c r="E143" s="190" t="s">
        <v>106</v>
      </c>
      <c r="F143" s="11" t="s">
        <v>831</v>
      </c>
      <c r="G143" s="189" t="s">
        <v>38</v>
      </c>
      <c r="H143" s="359"/>
      <c r="I143" s="349">
        <v>576</v>
      </c>
      <c r="J143" s="257"/>
      <c r="K143" s="211">
        <f t="shared" si="16"/>
        <v>576</v>
      </c>
      <c r="L143" s="211">
        <v>96</v>
      </c>
      <c r="M143" s="211">
        <f t="shared" si="20"/>
        <v>480</v>
      </c>
      <c r="N143" s="258">
        <v>-576</v>
      </c>
      <c r="O143" s="257"/>
      <c r="P143" s="212">
        <f t="shared" si="19"/>
        <v>25649.019999999982</v>
      </c>
    </row>
    <row r="144" spans="1:16" ht="14" x14ac:dyDescent="0.2">
      <c r="A144" s="166">
        <v>45985</v>
      </c>
      <c r="B144" s="189" t="s">
        <v>528</v>
      </c>
      <c r="C144" s="256" t="s">
        <v>770</v>
      </c>
      <c r="D144" s="233" t="s">
        <v>249</v>
      </c>
      <c r="E144" s="190" t="s">
        <v>106</v>
      </c>
      <c r="F144" s="11" t="s">
        <v>831</v>
      </c>
      <c r="G144" s="189" t="s">
        <v>150</v>
      </c>
      <c r="H144" s="359"/>
      <c r="I144" s="349">
        <v>53.62</v>
      </c>
      <c r="J144" s="257"/>
      <c r="K144" s="211">
        <f t="shared" si="16"/>
        <v>53.62</v>
      </c>
      <c r="L144" s="211">
        <v>7.35</v>
      </c>
      <c r="M144" s="211">
        <f t="shared" si="20"/>
        <v>46.269999999999996</v>
      </c>
      <c r="N144" s="258">
        <v>-53.62</v>
      </c>
      <c r="O144" s="257"/>
      <c r="P144" s="212">
        <f t="shared" si="19"/>
        <v>25595.399999999983</v>
      </c>
    </row>
    <row r="145" spans="1:17" ht="14" x14ac:dyDescent="0.2">
      <c r="A145" s="166">
        <v>45992</v>
      </c>
      <c r="B145" s="189" t="s">
        <v>119</v>
      </c>
      <c r="C145" s="256" t="s">
        <v>771</v>
      </c>
      <c r="D145" s="233" t="s">
        <v>806</v>
      </c>
      <c r="E145" s="190"/>
      <c r="F145" s="189"/>
      <c r="G145" s="189" t="s">
        <v>9</v>
      </c>
      <c r="H145" s="359">
        <v>90</v>
      </c>
      <c r="I145" s="349"/>
      <c r="J145" s="257"/>
      <c r="K145" s="211">
        <f t="shared" si="16"/>
        <v>0</v>
      </c>
      <c r="L145" s="211">
        <v>0</v>
      </c>
      <c r="M145" s="211">
        <f t="shared" ref="M145:M146" si="21">K145-L145</f>
        <v>0</v>
      </c>
      <c r="N145" s="258">
        <v>90</v>
      </c>
      <c r="O145" s="257"/>
      <c r="P145" s="212">
        <f t="shared" si="19"/>
        <v>25685.399999999983</v>
      </c>
    </row>
    <row r="146" spans="1:17" ht="14" x14ac:dyDescent="0.2">
      <c r="A146" s="166">
        <v>45992</v>
      </c>
      <c r="B146" s="189" t="s">
        <v>119</v>
      </c>
      <c r="C146" s="256" t="s">
        <v>772</v>
      </c>
      <c r="D146" s="233" t="s">
        <v>806</v>
      </c>
      <c r="E146" s="190"/>
      <c r="F146" s="189"/>
      <c r="G146" s="189" t="s">
        <v>6</v>
      </c>
      <c r="H146" s="359">
        <v>20</v>
      </c>
      <c r="I146" s="349"/>
      <c r="J146" s="257"/>
      <c r="K146" s="211">
        <f t="shared" si="16"/>
        <v>0</v>
      </c>
      <c r="L146" s="211">
        <v>0</v>
      </c>
      <c r="M146" s="211">
        <f t="shared" si="21"/>
        <v>0</v>
      </c>
      <c r="N146" s="258">
        <v>20</v>
      </c>
      <c r="O146" s="257"/>
      <c r="P146" s="212">
        <f t="shared" si="19"/>
        <v>25705.399999999983</v>
      </c>
    </row>
    <row r="147" spans="1:17" ht="15" customHeight="1" x14ac:dyDescent="0.2">
      <c r="A147" s="166">
        <v>45993</v>
      </c>
      <c r="B147" s="189" t="s">
        <v>312</v>
      </c>
      <c r="C147" s="256" t="s">
        <v>509</v>
      </c>
      <c r="D147" s="233">
        <v>1164</v>
      </c>
      <c r="E147" s="190" t="s">
        <v>106</v>
      </c>
      <c r="F147" s="11" t="s">
        <v>831</v>
      </c>
      <c r="G147" s="189" t="s">
        <v>56</v>
      </c>
      <c r="H147" s="359"/>
      <c r="I147" s="349">
        <v>1920</v>
      </c>
      <c r="J147" s="257"/>
      <c r="K147" s="211">
        <f t="shared" si="16"/>
        <v>1920</v>
      </c>
      <c r="L147" s="211">
        <v>320</v>
      </c>
      <c r="M147" s="211">
        <f t="shared" si="20"/>
        <v>1600</v>
      </c>
      <c r="N147" s="258">
        <v>-1920</v>
      </c>
      <c r="O147" s="257"/>
      <c r="P147" s="212">
        <f t="shared" si="19"/>
        <v>23785.399999999983</v>
      </c>
      <c r="Q147" s="217"/>
    </row>
    <row r="148" spans="1:17" ht="14" x14ac:dyDescent="0.2">
      <c r="A148" s="166">
        <v>45993</v>
      </c>
      <c r="B148" s="189" t="s">
        <v>312</v>
      </c>
      <c r="C148" s="256" t="s">
        <v>773</v>
      </c>
      <c r="D148" s="233">
        <v>1163</v>
      </c>
      <c r="E148" s="190" t="s">
        <v>106</v>
      </c>
      <c r="F148" s="11" t="s">
        <v>831</v>
      </c>
      <c r="G148" s="189" t="s">
        <v>56</v>
      </c>
      <c r="H148" s="359"/>
      <c r="I148" s="349">
        <v>660</v>
      </c>
      <c r="J148" s="257"/>
      <c r="K148" s="211">
        <f t="shared" si="16"/>
        <v>660</v>
      </c>
      <c r="L148" s="211">
        <v>110</v>
      </c>
      <c r="M148" s="211">
        <f t="shared" si="20"/>
        <v>550</v>
      </c>
      <c r="N148" s="258">
        <v>-660</v>
      </c>
      <c r="O148" s="257"/>
      <c r="P148" s="212">
        <f t="shared" si="19"/>
        <v>23125.399999999983</v>
      </c>
      <c r="Q148" s="193"/>
    </row>
    <row r="149" spans="1:17" ht="14" x14ac:dyDescent="0.2">
      <c r="A149" s="166">
        <v>46002</v>
      </c>
      <c r="B149" s="189" t="s">
        <v>119</v>
      </c>
      <c r="C149" s="256" t="s">
        <v>783</v>
      </c>
      <c r="D149" s="233" t="s">
        <v>807</v>
      </c>
      <c r="E149" s="190"/>
      <c r="F149" s="189"/>
      <c r="G149" s="189" t="s">
        <v>9</v>
      </c>
      <c r="H149" s="359">
        <v>150</v>
      </c>
      <c r="I149" s="349"/>
      <c r="J149" s="257"/>
      <c r="K149" s="211">
        <f t="shared" si="16"/>
        <v>0</v>
      </c>
      <c r="L149" s="211"/>
      <c r="M149" s="211"/>
      <c r="N149" s="258">
        <v>150</v>
      </c>
      <c r="O149" s="257"/>
      <c r="P149" s="212">
        <f t="shared" si="19"/>
        <v>23275.399999999983</v>
      </c>
      <c r="Q149" s="217"/>
    </row>
    <row r="150" spans="1:17" ht="14" x14ac:dyDescent="0.2">
      <c r="A150" s="166">
        <v>46006</v>
      </c>
      <c r="B150" s="189" t="s">
        <v>776</v>
      </c>
      <c r="C150" s="253" t="s">
        <v>778</v>
      </c>
      <c r="D150" s="233"/>
      <c r="E150" s="214"/>
      <c r="F150" s="215"/>
      <c r="G150" s="189" t="s">
        <v>13</v>
      </c>
      <c r="H150" s="359"/>
      <c r="I150" s="357">
        <v>73.5</v>
      </c>
      <c r="J150" s="257"/>
      <c r="K150" s="211">
        <f t="shared" si="16"/>
        <v>73.5</v>
      </c>
      <c r="L150" s="211">
        <v>0</v>
      </c>
      <c r="M150" s="211">
        <f t="shared" ref="M150" si="22">K150-L150</f>
        <v>73.5</v>
      </c>
      <c r="N150" s="258">
        <v>-105</v>
      </c>
      <c r="O150" s="257"/>
      <c r="P150" s="212">
        <f t="shared" si="19"/>
        <v>23170.399999999983</v>
      </c>
      <c r="Q150" s="217"/>
    </row>
    <row r="151" spans="1:17" ht="14" x14ac:dyDescent="0.2">
      <c r="A151" s="166">
        <v>46006</v>
      </c>
      <c r="B151" s="189" t="s">
        <v>777</v>
      </c>
      <c r="C151" s="253" t="s">
        <v>779</v>
      </c>
      <c r="D151" s="233"/>
      <c r="E151" s="214"/>
      <c r="F151" s="215"/>
      <c r="G151" s="189" t="s">
        <v>13</v>
      </c>
      <c r="H151" s="359"/>
      <c r="I151" s="357">
        <v>294.14</v>
      </c>
      <c r="J151" s="257"/>
      <c r="K151" s="211">
        <f t="shared" si="16"/>
        <v>294.14</v>
      </c>
      <c r="L151" s="211">
        <v>0</v>
      </c>
      <c r="M151" s="211">
        <f t="shared" ref="M151:M180" si="23">K151-L151</f>
        <v>294.14</v>
      </c>
      <c r="N151" s="258">
        <v>-434.15</v>
      </c>
      <c r="O151" s="257"/>
      <c r="P151" s="212">
        <f t="shared" si="19"/>
        <v>22736.249999999982</v>
      </c>
      <c r="Q151" s="217"/>
    </row>
    <row r="152" spans="1:17" ht="14" x14ac:dyDescent="0.2">
      <c r="A152" s="166">
        <v>46006</v>
      </c>
      <c r="B152" s="167" t="s">
        <v>777</v>
      </c>
      <c r="C152" s="253" t="s">
        <v>780</v>
      </c>
      <c r="D152" s="233"/>
      <c r="E152" s="190"/>
      <c r="F152" s="189"/>
      <c r="G152" s="189" t="s">
        <v>19</v>
      </c>
      <c r="H152" s="359"/>
      <c r="I152" s="357">
        <v>13.95</v>
      </c>
      <c r="J152" s="257"/>
      <c r="K152" s="211">
        <f t="shared" ref="K152:K214" si="24">I152</f>
        <v>13.95</v>
      </c>
      <c r="L152" s="211">
        <v>0</v>
      </c>
      <c r="M152" s="211">
        <f t="shared" si="23"/>
        <v>13.95</v>
      </c>
      <c r="N152" s="258"/>
      <c r="O152" s="257"/>
      <c r="P152" s="212">
        <f t="shared" si="19"/>
        <v>22736.249999999982</v>
      </c>
      <c r="Q152" s="217"/>
    </row>
    <row r="153" spans="1:17" ht="14" x14ac:dyDescent="0.2">
      <c r="A153" s="166">
        <v>46006</v>
      </c>
      <c r="B153" s="167" t="s">
        <v>776</v>
      </c>
      <c r="C153" s="253" t="s">
        <v>781</v>
      </c>
      <c r="D153" s="233"/>
      <c r="E153" s="190"/>
      <c r="F153" s="189"/>
      <c r="G153" s="189" t="s">
        <v>17</v>
      </c>
      <c r="H153" s="359"/>
      <c r="I153" s="357">
        <v>31.5</v>
      </c>
      <c r="J153" s="257"/>
      <c r="K153" s="211">
        <f t="shared" si="24"/>
        <v>31.5</v>
      </c>
      <c r="L153" s="211">
        <v>0</v>
      </c>
      <c r="M153" s="211">
        <f t="shared" si="23"/>
        <v>31.5</v>
      </c>
      <c r="N153" s="258"/>
      <c r="O153" s="257"/>
      <c r="P153" s="212">
        <f t="shared" si="19"/>
        <v>22736.249999999982</v>
      </c>
      <c r="Q153" s="217"/>
    </row>
    <row r="154" spans="1:17" ht="14" x14ac:dyDescent="0.2">
      <c r="A154" s="166">
        <v>46006</v>
      </c>
      <c r="B154" s="167" t="s">
        <v>777</v>
      </c>
      <c r="C154" s="253" t="s">
        <v>781</v>
      </c>
      <c r="D154" s="233"/>
      <c r="E154" s="190"/>
      <c r="F154" s="189"/>
      <c r="G154" s="189" t="s">
        <v>17</v>
      </c>
      <c r="H154" s="359"/>
      <c r="I154" s="357">
        <v>126.06</v>
      </c>
      <c r="J154" s="257"/>
      <c r="K154" s="211">
        <f t="shared" si="24"/>
        <v>126.06</v>
      </c>
      <c r="L154" s="211">
        <v>0</v>
      </c>
      <c r="M154" s="211">
        <f t="shared" si="23"/>
        <v>126.06</v>
      </c>
      <c r="N154" s="258"/>
      <c r="O154" s="257"/>
      <c r="P154" s="212">
        <f t="shared" si="19"/>
        <v>22736.249999999982</v>
      </c>
      <c r="Q154" s="217"/>
    </row>
    <row r="155" spans="1:17" ht="14" x14ac:dyDescent="0.2">
      <c r="A155" s="166">
        <v>46006</v>
      </c>
      <c r="B155" s="189" t="s">
        <v>760</v>
      </c>
      <c r="C155" s="256" t="s">
        <v>782</v>
      </c>
      <c r="D155" s="233"/>
      <c r="E155" s="190"/>
      <c r="F155" s="189"/>
      <c r="G155" s="189" t="s">
        <v>624</v>
      </c>
      <c r="H155" s="359"/>
      <c r="I155" s="349">
        <v>32.46</v>
      </c>
      <c r="J155" s="257"/>
      <c r="K155" s="211">
        <f t="shared" si="24"/>
        <v>32.46</v>
      </c>
      <c r="L155" s="211">
        <v>0</v>
      </c>
      <c r="M155" s="211">
        <f t="shared" si="23"/>
        <v>32.46</v>
      </c>
      <c r="N155" s="258">
        <v>-32.46</v>
      </c>
      <c r="O155" s="257"/>
      <c r="P155" s="212">
        <f t="shared" si="19"/>
        <v>22703.789999999983</v>
      </c>
      <c r="Q155" s="217"/>
    </row>
    <row r="156" spans="1:17" ht="14" x14ac:dyDescent="0.2">
      <c r="A156" s="166">
        <v>46006</v>
      </c>
      <c r="B156" s="189" t="s">
        <v>328</v>
      </c>
      <c r="C156" s="256" t="s">
        <v>784</v>
      </c>
      <c r="D156" s="233" t="s">
        <v>249</v>
      </c>
      <c r="E156" s="190" t="s">
        <v>106</v>
      </c>
      <c r="F156" s="11" t="s">
        <v>831</v>
      </c>
      <c r="G156" s="189" t="s">
        <v>148</v>
      </c>
      <c r="H156" s="359"/>
      <c r="I156" s="349">
        <v>9.69</v>
      </c>
      <c r="J156" s="257"/>
      <c r="K156" s="211">
        <f t="shared" si="24"/>
        <v>9.69</v>
      </c>
      <c r="L156" s="211">
        <v>1.61</v>
      </c>
      <c r="M156" s="211">
        <f t="shared" si="23"/>
        <v>8.08</v>
      </c>
      <c r="N156" s="258">
        <v>-9.69</v>
      </c>
      <c r="O156" s="257"/>
      <c r="P156" s="212">
        <f t="shared" si="19"/>
        <v>22694.099999999984</v>
      </c>
      <c r="Q156" s="217"/>
    </row>
    <row r="157" spans="1:17" ht="14" x14ac:dyDescent="0.2">
      <c r="A157" s="166">
        <v>46006</v>
      </c>
      <c r="B157" s="189" t="s">
        <v>328</v>
      </c>
      <c r="C157" s="256" t="s">
        <v>785</v>
      </c>
      <c r="D157" s="233" t="s">
        <v>820</v>
      </c>
      <c r="E157" s="190" t="s">
        <v>106</v>
      </c>
      <c r="F157" s="11" t="s">
        <v>831</v>
      </c>
      <c r="G157" s="189" t="s">
        <v>61</v>
      </c>
      <c r="H157" s="359"/>
      <c r="I157" s="349">
        <v>75.180000000000007</v>
      </c>
      <c r="J157" s="257"/>
      <c r="K157" s="211">
        <f t="shared" si="24"/>
        <v>75.180000000000007</v>
      </c>
      <c r="L157" s="211">
        <v>12.53</v>
      </c>
      <c r="M157" s="211">
        <f t="shared" si="23"/>
        <v>62.650000000000006</v>
      </c>
      <c r="N157" s="258">
        <v>-75.180000000000007</v>
      </c>
      <c r="O157" s="257"/>
      <c r="P157" s="212">
        <f t="shared" si="19"/>
        <v>22618.919999999984</v>
      </c>
      <c r="Q157" s="217"/>
    </row>
    <row r="158" spans="1:17" ht="14" x14ac:dyDescent="0.2">
      <c r="A158" s="166">
        <v>46006</v>
      </c>
      <c r="B158" s="189" t="s">
        <v>485</v>
      </c>
      <c r="C158" s="256" t="s">
        <v>786</v>
      </c>
      <c r="D158" s="233">
        <v>1720</v>
      </c>
      <c r="E158" s="190" t="s">
        <v>106</v>
      </c>
      <c r="F158" s="11" t="s">
        <v>831</v>
      </c>
      <c r="G158" s="189" t="s">
        <v>25</v>
      </c>
      <c r="H158" s="359"/>
      <c r="I158" s="349">
        <v>273</v>
      </c>
      <c r="J158" s="257"/>
      <c r="K158" s="211">
        <f t="shared" si="24"/>
        <v>273</v>
      </c>
      <c r="L158" s="211">
        <v>45.5</v>
      </c>
      <c r="M158" s="211">
        <f t="shared" si="23"/>
        <v>227.5</v>
      </c>
      <c r="N158" s="258">
        <v>-273</v>
      </c>
      <c r="O158" s="257"/>
      <c r="P158" s="212">
        <f t="shared" si="19"/>
        <v>22345.919999999984</v>
      </c>
      <c r="Q158" s="217"/>
    </row>
    <row r="159" spans="1:17" ht="27" customHeight="1" x14ac:dyDescent="0.2">
      <c r="A159" s="166">
        <v>46010</v>
      </c>
      <c r="B159" s="189" t="s">
        <v>528</v>
      </c>
      <c r="C159" s="256" t="s">
        <v>787</v>
      </c>
      <c r="D159" s="253" t="s">
        <v>788</v>
      </c>
      <c r="E159" s="190"/>
      <c r="F159" s="189"/>
      <c r="G159" s="189" t="s">
        <v>156</v>
      </c>
      <c r="H159" s="359"/>
      <c r="I159" s="349">
        <v>12.65</v>
      </c>
      <c r="J159" s="257"/>
      <c r="K159" s="211">
        <f t="shared" si="24"/>
        <v>12.65</v>
      </c>
      <c r="L159" s="211">
        <v>0</v>
      </c>
      <c r="M159" s="211">
        <f t="shared" si="23"/>
        <v>12.65</v>
      </c>
      <c r="N159" s="258">
        <v>-12.65</v>
      </c>
      <c r="O159" s="257"/>
      <c r="P159" s="212">
        <f t="shared" si="19"/>
        <v>22333.269999999982</v>
      </c>
      <c r="Q159" s="217"/>
    </row>
    <row r="160" spans="1:17" ht="28" x14ac:dyDescent="0.2">
      <c r="A160" s="166">
        <v>46010</v>
      </c>
      <c r="B160" s="189" t="s">
        <v>507</v>
      </c>
      <c r="C160" s="256" t="s">
        <v>840</v>
      </c>
      <c r="D160" s="233" t="s">
        <v>819</v>
      </c>
      <c r="E160" s="190" t="s">
        <v>106</v>
      </c>
      <c r="F160" s="189"/>
      <c r="G160" s="189" t="s">
        <v>477</v>
      </c>
      <c r="H160" s="359"/>
      <c r="I160" s="349">
        <v>30</v>
      </c>
      <c r="J160" s="257"/>
      <c r="K160" s="211">
        <f t="shared" si="24"/>
        <v>30</v>
      </c>
      <c r="L160" s="211">
        <v>0</v>
      </c>
      <c r="M160" s="211">
        <f t="shared" si="23"/>
        <v>30</v>
      </c>
      <c r="N160" s="258">
        <v>-30</v>
      </c>
      <c r="O160" s="257"/>
      <c r="P160" s="212">
        <f t="shared" si="19"/>
        <v>22303.269999999982</v>
      </c>
      <c r="Q160" s="217"/>
    </row>
    <row r="161" spans="1:17" ht="14" x14ac:dyDescent="0.2">
      <c r="A161" s="166">
        <v>46010</v>
      </c>
      <c r="B161" s="167" t="s">
        <v>545</v>
      </c>
      <c r="C161" s="256" t="s">
        <v>611</v>
      </c>
      <c r="D161" s="233">
        <v>471735820</v>
      </c>
      <c r="E161" s="190" t="s">
        <v>106</v>
      </c>
      <c r="F161" s="189"/>
      <c r="G161" s="189" t="s">
        <v>27</v>
      </c>
      <c r="H161" s="359"/>
      <c r="I161" s="349">
        <v>4.25</v>
      </c>
      <c r="J161" s="257"/>
      <c r="K161" s="211">
        <f t="shared" si="24"/>
        <v>4.25</v>
      </c>
      <c r="L161" s="211">
        <v>0</v>
      </c>
      <c r="M161" s="211">
        <f t="shared" si="23"/>
        <v>4.25</v>
      </c>
      <c r="N161" s="258">
        <v>-4.25</v>
      </c>
      <c r="O161" s="257"/>
      <c r="P161" s="212">
        <f t="shared" si="19"/>
        <v>22299.019999999982</v>
      </c>
    </row>
    <row r="162" spans="1:17" ht="14" x14ac:dyDescent="0.2">
      <c r="A162" s="166">
        <v>46027</v>
      </c>
      <c r="B162" s="189" t="s">
        <v>790</v>
      </c>
      <c r="C162" s="256" t="s">
        <v>791</v>
      </c>
      <c r="D162" s="233">
        <v>9342</v>
      </c>
      <c r="E162" s="190" t="s">
        <v>106</v>
      </c>
      <c r="F162" s="11" t="s">
        <v>948</v>
      </c>
      <c r="G162" s="189" t="s">
        <v>51</v>
      </c>
      <c r="H162" s="359"/>
      <c r="I162" s="349">
        <v>427.2</v>
      </c>
      <c r="J162" s="257"/>
      <c r="K162" s="211">
        <f t="shared" si="24"/>
        <v>427.2</v>
      </c>
      <c r="L162" s="211">
        <v>71.2</v>
      </c>
      <c r="M162" s="211">
        <f t="shared" si="23"/>
        <v>356</v>
      </c>
      <c r="N162" s="258">
        <v>-427.2</v>
      </c>
      <c r="O162" s="257"/>
      <c r="P162" s="212">
        <f t="shared" si="19"/>
        <v>21871.819999999982</v>
      </c>
    </row>
    <row r="163" spans="1:17" ht="14" x14ac:dyDescent="0.2">
      <c r="A163" s="166">
        <v>46027</v>
      </c>
      <c r="B163" s="189" t="s">
        <v>296</v>
      </c>
      <c r="C163" s="256" t="s">
        <v>792</v>
      </c>
      <c r="D163" s="259" t="s">
        <v>793</v>
      </c>
      <c r="E163" s="190" t="s">
        <v>106</v>
      </c>
      <c r="F163" s="189"/>
      <c r="G163" s="189" t="s">
        <v>44</v>
      </c>
      <c r="H163" s="359"/>
      <c r="I163" s="349">
        <v>425.25</v>
      </c>
      <c r="J163" s="257"/>
      <c r="K163" s="211">
        <f t="shared" si="24"/>
        <v>425.25</v>
      </c>
      <c r="L163" s="211">
        <v>0</v>
      </c>
      <c r="M163" s="211">
        <f t="shared" si="23"/>
        <v>425.25</v>
      </c>
      <c r="N163" s="258">
        <v>-425.25</v>
      </c>
      <c r="O163" s="257"/>
      <c r="P163" s="212">
        <f t="shared" si="19"/>
        <v>21446.569999999982</v>
      </c>
    </row>
    <row r="164" spans="1:17" ht="16" customHeight="1" x14ac:dyDescent="0.2">
      <c r="A164" s="166">
        <v>46028</v>
      </c>
      <c r="B164" s="189" t="s">
        <v>528</v>
      </c>
      <c r="C164" s="256" t="s">
        <v>841</v>
      </c>
      <c r="D164" s="259" t="s">
        <v>249</v>
      </c>
      <c r="E164" s="190" t="s">
        <v>106</v>
      </c>
      <c r="F164" s="189"/>
      <c r="G164" s="189" t="s">
        <v>477</v>
      </c>
      <c r="H164" s="359"/>
      <c r="I164" s="349">
        <v>55.34</v>
      </c>
      <c r="J164" s="257"/>
      <c r="K164" s="211">
        <f t="shared" si="24"/>
        <v>55.34</v>
      </c>
      <c r="L164" s="211">
        <v>0</v>
      </c>
      <c r="M164" s="211">
        <f t="shared" ref="M164:M174" si="25">K164-L164</f>
        <v>55.34</v>
      </c>
      <c r="N164" s="258">
        <v>-55.34</v>
      </c>
      <c r="O164" s="257"/>
      <c r="P164" s="212">
        <f t="shared" si="19"/>
        <v>21391.229999999981</v>
      </c>
      <c r="Q164" s="217"/>
    </row>
    <row r="165" spans="1:17" ht="14" x14ac:dyDescent="0.2">
      <c r="A165" s="166">
        <v>46030</v>
      </c>
      <c r="B165" s="189" t="s">
        <v>119</v>
      </c>
      <c r="C165" s="253" t="s">
        <v>842</v>
      </c>
      <c r="D165" s="233"/>
      <c r="E165" s="190"/>
      <c r="F165" s="233"/>
      <c r="G165" s="189" t="s">
        <v>9</v>
      </c>
      <c r="H165" s="359">
        <v>1988.79</v>
      </c>
      <c r="I165" s="349"/>
      <c r="J165" s="257"/>
      <c r="K165" s="211">
        <f t="shared" si="24"/>
        <v>0</v>
      </c>
      <c r="L165" s="211">
        <v>0</v>
      </c>
      <c r="M165" s="211">
        <f t="shared" si="25"/>
        <v>0</v>
      </c>
      <c r="N165" s="258">
        <v>1988.79</v>
      </c>
      <c r="O165" s="257"/>
      <c r="P165" s="212">
        <f t="shared" si="19"/>
        <v>23380.019999999982</v>
      </c>
      <c r="Q165" s="217"/>
    </row>
    <row r="166" spans="1:17" ht="14" x14ac:dyDescent="0.2">
      <c r="A166" s="166">
        <v>46035</v>
      </c>
      <c r="B166" s="189" t="s">
        <v>843</v>
      </c>
      <c r="C166" s="256" t="s">
        <v>844</v>
      </c>
      <c r="D166" s="259" t="s">
        <v>845</v>
      </c>
      <c r="E166" s="190"/>
      <c r="F166" s="189"/>
      <c r="G166" s="189" t="s">
        <v>34</v>
      </c>
      <c r="H166" s="359"/>
      <c r="I166" s="349">
        <v>85</v>
      </c>
      <c r="J166" s="257"/>
      <c r="K166" s="211">
        <f t="shared" si="24"/>
        <v>85</v>
      </c>
      <c r="L166" s="211">
        <v>0</v>
      </c>
      <c r="M166" s="211">
        <f t="shared" si="25"/>
        <v>85</v>
      </c>
      <c r="N166" s="258">
        <v>-85</v>
      </c>
      <c r="O166" s="257"/>
      <c r="P166" s="212">
        <f t="shared" si="19"/>
        <v>23295.019999999982</v>
      </c>
      <c r="Q166" s="217"/>
    </row>
    <row r="167" spans="1:17" ht="28" x14ac:dyDescent="0.2">
      <c r="A167" s="166">
        <v>46035</v>
      </c>
      <c r="B167" s="189" t="s">
        <v>846</v>
      </c>
      <c r="C167" s="256" t="s">
        <v>847</v>
      </c>
      <c r="D167" s="259" t="s">
        <v>845</v>
      </c>
      <c r="E167" s="190"/>
      <c r="F167" s="189"/>
      <c r="G167" s="189" t="s">
        <v>34</v>
      </c>
      <c r="H167" s="359"/>
      <c r="I167" s="349">
        <v>50</v>
      </c>
      <c r="J167" s="257"/>
      <c r="K167" s="211">
        <f t="shared" si="24"/>
        <v>50</v>
      </c>
      <c r="L167" s="211">
        <v>0</v>
      </c>
      <c r="M167" s="211">
        <f t="shared" si="25"/>
        <v>50</v>
      </c>
      <c r="N167" s="258">
        <v>-50</v>
      </c>
      <c r="O167" s="257"/>
      <c r="P167" s="212">
        <f t="shared" si="19"/>
        <v>23245.019999999982</v>
      </c>
      <c r="Q167" s="217"/>
    </row>
    <row r="168" spans="1:17" ht="16" customHeight="1" x14ac:dyDescent="0.2">
      <c r="A168" s="166">
        <v>46035</v>
      </c>
      <c r="B168" s="189" t="s">
        <v>380</v>
      </c>
      <c r="C168" s="256" t="s">
        <v>848</v>
      </c>
      <c r="D168" s="259" t="s">
        <v>249</v>
      </c>
      <c r="E168" s="190" t="s">
        <v>106</v>
      </c>
      <c r="F168" s="189"/>
      <c r="G168" s="189" t="s">
        <v>477</v>
      </c>
      <c r="H168" s="359"/>
      <c r="I168" s="349">
        <v>41.65</v>
      </c>
      <c r="J168" s="257"/>
      <c r="K168" s="211">
        <f t="shared" si="24"/>
        <v>41.65</v>
      </c>
      <c r="L168" s="211">
        <v>0</v>
      </c>
      <c r="M168" s="211">
        <f t="shared" si="25"/>
        <v>41.65</v>
      </c>
      <c r="N168" s="258">
        <v>-41.65</v>
      </c>
      <c r="O168" s="257"/>
      <c r="P168" s="212">
        <f t="shared" si="19"/>
        <v>23203.369999999981</v>
      </c>
      <c r="Q168" s="217"/>
    </row>
    <row r="169" spans="1:17" ht="16" customHeight="1" x14ac:dyDescent="0.2">
      <c r="A169" s="166">
        <v>46035</v>
      </c>
      <c r="B169" s="189" t="s">
        <v>380</v>
      </c>
      <c r="C169" s="256" t="s">
        <v>841</v>
      </c>
      <c r="D169" s="259" t="s">
        <v>249</v>
      </c>
      <c r="E169" s="190" t="s">
        <v>106</v>
      </c>
      <c r="F169" s="189"/>
      <c r="G169" s="189" t="s">
        <v>477</v>
      </c>
      <c r="H169" s="359"/>
      <c r="I169" s="349">
        <v>46.95</v>
      </c>
      <c r="J169" s="257"/>
      <c r="K169" s="211">
        <f t="shared" si="24"/>
        <v>46.95</v>
      </c>
      <c r="L169" s="211">
        <v>0</v>
      </c>
      <c r="M169" s="211">
        <f t="shared" si="25"/>
        <v>46.95</v>
      </c>
      <c r="N169" s="258">
        <v>-46.95</v>
      </c>
      <c r="O169" s="257"/>
      <c r="P169" s="212">
        <f t="shared" si="19"/>
        <v>23156.41999999998</v>
      </c>
      <c r="Q169" s="217"/>
    </row>
    <row r="170" spans="1:17" ht="14" x14ac:dyDescent="0.2">
      <c r="A170" s="166">
        <v>46037</v>
      </c>
      <c r="B170" s="189" t="s">
        <v>852</v>
      </c>
      <c r="C170" s="253" t="s">
        <v>854</v>
      </c>
      <c r="D170" s="233"/>
      <c r="E170" s="214"/>
      <c r="F170" s="215"/>
      <c r="G170" s="189" t="s">
        <v>13</v>
      </c>
      <c r="H170" s="359"/>
      <c r="I170" s="357">
        <v>73.5</v>
      </c>
      <c r="J170" s="257"/>
      <c r="K170" s="211">
        <f t="shared" si="24"/>
        <v>73.5</v>
      </c>
      <c r="L170" s="211">
        <v>0</v>
      </c>
      <c r="M170" s="211">
        <f t="shared" si="25"/>
        <v>73.5</v>
      </c>
      <c r="N170" s="258">
        <v>-421.33</v>
      </c>
      <c r="O170" s="257"/>
      <c r="P170" s="212">
        <f t="shared" si="19"/>
        <v>22735.089999999978</v>
      </c>
      <c r="Q170" s="217"/>
    </row>
    <row r="171" spans="1:17" ht="14" x14ac:dyDescent="0.2">
      <c r="A171" s="166">
        <v>46037</v>
      </c>
      <c r="B171" s="189" t="s">
        <v>853</v>
      </c>
      <c r="C171" s="253" t="s">
        <v>855</v>
      </c>
      <c r="D171" s="233"/>
      <c r="E171" s="214"/>
      <c r="F171" s="215"/>
      <c r="G171" s="189" t="s">
        <v>13</v>
      </c>
      <c r="H171" s="359"/>
      <c r="I171" s="357">
        <v>294.14</v>
      </c>
      <c r="J171" s="257"/>
      <c r="K171" s="211">
        <f t="shared" si="24"/>
        <v>294.14</v>
      </c>
      <c r="L171" s="211">
        <v>0</v>
      </c>
      <c r="M171" s="211">
        <f t="shared" si="25"/>
        <v>294.14</v>
      </c>
      <c r="N171" s="258">
        <v>-105</v>
      </c>
      <c r="O171" s="257"/>
      <c r="P171" s="212">
        <f t="shared" si="19"/>
        <v>22630.089999999978</v>
      </c>
      <c r="Q171" s="217"/>
    </row>
    <row r="172" spans="1:17" ht="14" x14ac:dyDescent="0.2">
      <c r="A172" s="166">
        <v>46037</v>
      </c>
      <c r="B172" s="167" t="s">
        <v>853</v>
      </c>
      <c r="C172" s="253" t="s">
        <v>856</v>
      </c>
      <c r="D172" s="233"/>
      <c r="E172" s="190"/>
      <c r="F172" s="189"/>
      <c r="G172" s="189" t="s">
        <v>19</v>
      </c>
      <c r="H172" s="359"/>
      <c r="I172" s="357">
        <v>1.1299999999999999</v>
      </c>
      <c r="J172" s="257"/>
      <c r="K172" s="211">
        <f t="shared" si="24"/>
        <v>1.1299999999999999</v>
      </c>
      <c r="L172" s="211">
        <v>0</v>
      </c>
      <c r="M172" s="211">
        <f t="shared" si="25"/>
        <v>1.1299999999999999</v>
      </c>
      <c r="N172" s="258"/>
      <c r="O172" s="257"/>
      <c r="P172" s="212">
        <f t="shared" si="19"/>
        <v>22630.089999999978</v>
      </c>
      <c r="Q172" s="217"/>
    </row>
    <row r="173" spans="1:17" ht="14" x14ac:dyDescent="0.2">
      <c r="A173" s="166">
        <v>46037</v>
      </c>
      <c r="B173" s="167" t="s">
        <v>852</v>
      </c>
      <c r="C173" s="253" t="s">
        <v>857</v>
      </c>
      <c r="D173" s="233"/>
      <c r="E173" s="190"/>
      <c r="F173" s="189"/>
      <c r="G173" s="189" t="s">
        <v>17</v>
      </c>
      <c r="H173" s="359"/>
      <c r="I173" s="357">
        <v>31.5</v>
      </c>
      <c r="J173" s="257"/>
      <c r="K173" s="211">
        <f t="shared" si="24"/>
        <v>31.5</v>
      </c>
      <c r="L173" s="211">
        <v>0</v>
      </c>
      <c r="M173" s="211">
        <f t="shared" si="25"/>
        <v>31.5</v>
      </c>
      <c r="N173" s="258"/>
      <c r="O173" s="257"/>
      <c r="P173" s="212">
        <f t="shared" si="19"/>
        <v>22630.089999999978</v>
      </c>
      <c r="Q173" s="217"/>
    </row>
    <row r="174" spans="1:17" ht="14" x14ac:dyDescent="0.2">
      <c r="A174" s="166">
        <v>46037</v>
      </c>
      <c r="B174" s="167" t="s">
        <v>853</v>
      </c>
      <c r="C174" s="253" t="s">
        <v>857</v>
      </c>
      <c r="D174" s="233"/>
      <c r="E174" s="190"/>
      <c r="F174" s="189"/>
      <c r="G174" s="189" t="s">
        <v>17</v>
      </c>
      <c r="H174" s="359"/>
      <c r="I174" s="357">
        <v>126.06</v>
      </c>
      <c r="J174" s="257"/>
      <c r="K174" s="211">
        <f t="shared" si="24"/>
        <v>126.06</v>
      </c>
      <c r="L174" s="211">
        <v>0</v>
      </c>
      <c r="M174" s="211">
        <f t="shared" si="25"/>
        <v>126.06</v>
      </c>
      <c r="N174" s="258"/>
      <c r="O174" s="257"/>
      <c r="P174" s="212">
        <f t="shared" si="19"/>
        <v>22630.089999999978</v>
      </c>
      <c r="Q174" s="217"/>
    </row>
    <row r="175" spans="1:17" ht="14" x14ac:dyDescent="0.2">
      <c r="A175" s="166">
        <v>46037</v>
      </c>
      <c r="B175" s="189" t="s">
        <v>760</v>
      </c>
      <c r="C175" s="256" t="s">
        <v>858</v>
      </c>
      <c r="D175" s="233"/>
      <c r="E175" s="190"/>
      <c r="F175" s="189"/>
      <c r="G175" s="189" t="s">
        <v>624</v>
      </c>
      <c r="H175" s="359"/>
      <c r="I175" s="349">
        <v>16.23</v>
      </c>
      <c r="J175" s="257"/>
      <c r="K175" s="211">
        <f t="shared" si="24"/>
        <v>16.23</v>
      </c>
      <c r="L175" s="211">
        <v>0</v>
      </c>
      <c r="M175" s="211">
        <f t="shared" si="23"/>
        <v>16.23</v>
      </c>
      <c r="N175" s="258">
        <v>-16.23</v>
      </c>
      <c r="O175" s="257"/>
      <c r="P175" s="212">
        <f t="shared" si="19"/>
        <v>22613.859999999979</v>
      </c>
      <c r="Q175" s="217"/>
    </row>
    <row r="176" spans="1:17" ht="14" x14ac:dyDescent="0.2">
      <c r="A176" s="166">
        <v>46041</v>
      </c>
      <c r="B176" s="167" t="s">
        <v>545</v>
      </c>
      <c r="C176" s="256" t="s">
        <v>611</v>
      </c>
      <c r="D176" s="233">
        <v>474199235</v>
      </c>
      <c r="E176" s="190" t="s">
        <v>106</v>
      </c>
      <c r="F176" s="189"/>
      <c r="G176" s="189" t="s">
        <v>27</v>
      </c>
      <c r="H176" s="359"/>
      <c r="I176" s="349">
        <v>4.25</v>
      </c>
      <c r="J176" s="257"/>
      <c r="K176" s="211">
        <f t="shared" si="24"/>
        <v>4.25</v>
      </c>
      <c r="L176" s="211">
        <v>0</v>
      </c>
      <c r="M176" s="211">
        <f t="shared" si="23"/>
        <v>4.25</v>
      </c>
      <c r="N176" s="258">
        <v>-4.25</v>
      </c>
      <c r="O176" s="257"/>
      <c r="P176" s="212">
        <f t="shared" si="19"/>
        <v>22609.609999999979</v>
      </c>
      <c r="Q176" s="217"/>
    </row>
    <row r="177" spans="1:17" ht="28" x14ac:dyDescent="0.2">
      <c r="A177" s="166">
        <v>46042</v>
      </c>
      <c r="B177" s="189" t="s">
        <v>859</v>
      </c>
      <c r="C177" s="256" t="s">
        <v>860</v>
      </c>
      <c r="D177" s="233">
        <v>9068</v>
      </c>
      <c r="E177" s="190" t="s">
        <v>106</v>
      </c>
      <c r="F177" s="11" t="s">
        <v>948</v>
      </c>
      <c r="G177" s="189" t="s">
        <v>61</v>
      </c>
      <c r="H177" s="359"/>
      <c r="I177" s="349">
        <v>45.6</v>
      </c>
      <c r="J177" s="257"/>
      <c r="K177" s="211">
        <f t="shared" si="24"/>
        <v>45.6</v>
      </c>
      <c r="L177" s="211">
        <v>7.6</v>
      </c>
      <c r="M177" s="211">
        <f t="shared" si="23"/>
        <v>38</v>
      </c>
      <c r="N177" s="258">
        <v>-45.6</v>
      </c>
      <c r="O177" s="257"/>
      <c r="P177" s="212">
        <f t="shared" si="19"/>
        <v>22564.00999999998</v>
      </c>
      <c r="Q177" s="217"/>
    </row>
    <row r="178" spans="1:17" ht="15" customHeight="1" x14ac:dyDescent="0.2">
      <c r="A178" s="166">
        <v>46045</v>
      </c>
      <c r="B178" s="189" t="s">
        <v>96</v>
      </c>
      <c r="C178" s="254" t="s">
        <v>861</v>
      </c>
      <c r="D178" s="233">
        <v>9647235</v>
      </c>
      <c r="E178" s="190" t="s">
        <v>106</v>
      </c>
      <c r="F178" s="189"/>
      <c r="G178" s="189" t="s">
        <v>48</v>
      </c>
      <c r="H178" s="359"/>
      <c r="I178" s="349">
        <v>153.51</v>
      </c>
      <c r="J178" s="257"/>
      <c r="K178" s="211">
        <f t="shared" si="24"/>
        <v>153.51</v>
      </c>
      <c r="L178" s="211">
        <v>0</v>
      </c>
      <c r="M178" s="211">
        <f t="shared" si="23"/>
        <v>153.51</v>
      </c>
      <c r="N178" s="258">
        <v>-153.51</v>
      </c>
      <c r="O178" s="257"/>
      <c r="P178" s="212">
        <f t="shared" si="19"/>
        <v>22410.499999999982</v>
      </c>
      <c r="Q178" s="217"/>
    </row>
    <row r="179" spans="1:17" ht="28" x14ac:dyDescent="0.2">
      <c r="A179" s="166">
        <v>46058</v>
      </c>
      <c r="B179" s="189" t="s">
        <v>790</v>
      </c>
      <c r="C179" s="256" t="s">
        <v>862</v>
      </c>
      <c r="D179" s="233">
        <v>9363</v>
      </c>
      <c r="E179" s="190" t="s">
        <v>106</v>
      </c>
      <c r="F179" s="11" t="s">
        <v>948</v>
      </c>
      <c r="G179" s="189" t="s">
        <v>53</v>
      </c>
      <c r="H179" s="359"/>
      <c r="I179" s="349">
        <v>1384.8</v>
      </c>
      <c r="J179" s="257"/>
      <c r="K179" s="211">
        <f t="shared" si="24"/>
        <v>1384.8</v>
      </c>
      <c r="L179" s="211">
        <v>230.8</v>
      </c>
      <c r="M179" s="211">
        <f t="shared" si="23"/>
        <v>1154</v>
      </c>
      <c r="N179" s="258">
        <v>-1384.8</v>
      </c>
      <c r="O179" s="257"/>
      <c r="P179" s="212">
        <f t="shared" si="19"/>
        <v>21025.699999999983</v>
      </c>
      <c r="Q179" s="217"/>
    </row>
    <row r="180" spans="1:17" ht="14" x14ac:dyDescent="0.2">
      <c r="A180" s="166">
        <v>46058</v>
      </c>
      <c r="B180" s="189" t="s">
        <v>863</v>
      </c>
      <c r="C180" s="256" t="s">
        <v>864</v>
      </c>
      <c r="D180" s="233">
        <v>2092</v>
      </c>
      <c r="E180" s="190" t="s">
        <v>106</v>
      </c>
      <c r="F180" s="11" t="s">
        <v>948</v>
      </c>
      <c r="G180" s="189" t="s">
        <v>163</v>
      </c>
      <c r="H180" s="359"/>
      <c r="I180" s="349">
        <v>48</v>
      </c>
      <c r="J180" s="257"/>
      <c r="K180" s="211">
        <f t="shared" si="24"/>
        <v>48</v>
      </c>
      <c r="L180" s="211">
        <v>8</v>
      </c>
      <c r="M180" s="211">
        <f t="shared" si="23"/>
        <v>40</v>
      </c>
      <c r="N180" s="258">
        <v>-48</v>
      </c>
      <c r="O180" s="257"/>
      <c r="P180" s="212">
        <f t="shared" si="19"/>
        <v>20977.699999999983</v>
      </c>
    </row>
    <row r="181" spans="1:17" ht="14" x14ac:dyDescent="0.2">
      <c r="A181" s="166">
        <v>46069</v>
      </c>
      <c r="B181" s="189" t="s">
        <v>866</v>
      </c>
      <c r="C181" s="253" t="s">
        <v>869</v>
      </c>
      <c r="D181" s="233"/>
      <c r="E181" s="214"/>
      <c r="F181" s="215"/>
      <c r="G181" s="189" t="s">
        <v>13</v>
      </c>
      <c r="H181" s="359"/>
      <c r="I181" s="357">
        <f>73.55+36.33</f>
        <v>109.88</v>
      </c>
      <c r="J181" s="257"/>
      <c r="K181" s="211">
        <f t="shared" si="24"/>
        <v>109.88</v>
      </c>
      <c r="L181" s="211">
        <v>0</v>
      </c>
      <c r="M181" s="211">
        <f t="shared" ref="M181" si="26">K181-L181</f>
        <v>109.88</v>
      </c>
      <c r="N181" s="258">
        <v>-141.4</v>
      </c>
      <c r="O181" s="257"/>
      <c r="P181" s="212">
        <f t="shared" si="19"/>
        <v>20836.299999999981</v>
      </c>
      <c r="Q181" s="217"/>
    </row>
    <row r="182" spans="1:17" ht="14" x14ac:dyDescent="0.2">
      <c r="A182" s="166">
        <v>46069</v>
      </c>
      <c r="B182" s="189" t="s">
        <v>867</v>
      </c>
      <c r="C182" s="253" t="s">
        <v>869</v>
      </c>
      <c r="D182" s="233"/>
      <c r="E182" s="214"/>
      <c r="F182" s="215"/>
      <c r="G182" s="189" t="s">
        <v>13</v>
      </c>
      <c r="H182" s="359"/>
      <c r="I182" s="357">
        <v>294.08999999999997</v>
      </c>
      <c r="J182" s="257"/>
      <c r="K182" s="211">
        <f t="shared" si="24"/>
        <v>294.08999999999997</v>
      </c>
      <c r="L182" s="211"/>
      <c r="M182" s="211">
        <f t="shared" ref="M182:M214" si="27">K182-L182</f>
        <v>294.08999999999997</v>
      </c>
      <c r="N182" s="258">
        <v>-566.55999999999995</v>
      </c>
      <c r="O182" s="257"/>
      <c r="P182" s="212">
        <f>P181+N182</f>
        <v>20269.73999999998</v>
      </c>
      <c r="Q182" s="217"/>
    </row>
    <row r="183" spans="1:17" ht="14" x14ac:dyDescent="0.2">
      <c r="A183" s="166">
        <v>46069</v>
      </c>
      <c r="B183" s="189" t="s">
        <v>867</v>
      </c>
      <c r="C183" s="253" t="s">
        <v>872</v>
      </c>
      <c r="D183" s="233"/>
      <c r="E183" s="214"/>
      <c r="F183" s="215"/>
      <c r="G183" s="189" t="s">
        <v>15</v>
      </c>
      <c r="H183" s="359"/>
      <c r="I183" s="357">
        <v>145.30000000000001</v>
      </c>
      <c r="J183" s="257"/>
      <c r="K183" s="211">
        <f t="shared" si="24"/>
        <v>145.30000000000001</v>
      </c>
      <c r="L183" s="211"/>
      <c r="M183" s="211">
        <f t="shared" si="27"/>
        <v>145.30000000000001</v>
      </c>
      <c r="N183" s="258">
        <v>-43.47</v>
      </c>
      <c r="O183" s="257"/>
      <c r="P183" s="212">
        <f t="shared" ref="P183:P184" si="28">P182+N183</f>
        <v>20226.269999999979</v>
      </c>
      <c r="Q183" s="217"/>
    </row>
    <row r="184" spans="1:17" ht="14" x14ac:dyDescent="0.2">
      <c r="A184" s="166">
        <v>46069</v>
      </c>
      <c r="B184" s="167" t="s">
        <v>867</v>
      </c>
      <c r="C184" s="253" t="s">
        <v>870</v>
      </c>
      <c r="D184" s="233"/>
      <c r="E184" s="190"/>
      <c r="F184" s="189"/>
      <c r="G184" s="189" t="s">
        <v>19</v>
      </c>
      <c r="H184" s="359"/>
      <c r="I184" s="357">
        <v>1.1299999999999999</v>
      </c>
      <c r="J184" s="257"/>
      <c r="K184" s="211">
        <f t="shared" si="24"/>
        <v>1.1299999999999999</v>
      </c>
      <c r="L184" s="211"/>
      <c r="M184" s="211">
        <f t="shared" si="27"/>
        <v>1.1299999999999999</v>
      </c>
      <c r="N184" s="258"/>
      <c r="O184" s="257"/>
      <c r="P184" s="212">
        <f t="shared" si="28"/>
        <v>20226.269999999979</v>
      </c>
      <c r="Q184" s="217"/>
    </row>
    <row r="185" spans="1:17" ht="14" x14ac:dyDescent="0.2">
      <c r="A185" s="166">
        <v>46069</v>
      </c>
      <c r="B185" s="167" t="s">
        <v>866</v>
      </c>
      <c r="C185" s="253" t="s">
        <v>871</v>
      </c>
      <c r="D185" s="233"/>
      <c r="E185" s="190"/>
      <c r="F185" s="189"/>
      <c r="G185" s="189" t="s">
        <v>17</v>
      </c>
      <c r="H185" s="359"/>
      <c r="I185" s="357">
        <v>31.52</v>
      </c>
      <c r="J185" s="257"/>
      <c r="K185" s="211">
        <f t="shared" si="24"/>
        <v>31.52</v>
      </c>
      <c r="L185" s="211"/>
      <c r="M185" s="211">
        <f t="shared" si="27"/>
        <v>31.52</v>
      </c>
      <c r="N185" s="258"/>
      <c r="O185" s="257"/>
      <c r="P185" s="212">
        <f t="shared" ref="P185:P228" si="29">P184+N185</f>
        <v>20226.269999999979</v>
      </c>
      <c r="Q185" s="217"/>
    </row>
    <row r="186" spans="1:17" ht="14" x14ac:dyDescent="0.2">
      <c r="A186" s="166">
        <v>46069</v>
      </c>
      <c r="B186" s="167" t="s">
        <v>867</v>
      </c>
      <c r="C186" s="253" t="s">
        <v>871</v>
      </c>
      <c r="D186" s="233"/>
      <c r="E186" s="190"/>
      <c r="F186" s="189"/>
      <c r="G186" s="189" t="s">
        <v>17</v>
      </c>
      <c r="H186" s="359"/>
      <c r="I186" s="357">
        <v>126.04</v>
      </c>
      <c r="J186" s="257"/>
      <c r="K186" s="211">
        <f t="shared" si="24"/>
        <v>126.04</v>
      </c>
      <c r="L186" s="211"/>
      <c r="M186" s="211">
        <f t="shared" si="27"/>
        <v>126.04</v>
      </c>
      <c r="N186" s="258"/>
      <c r="O186" s="257"/>
      <c r="P186" s="212">
        <f t="shared" si="29"/>
        <v>20226.269999999979</v>
      </c>
      <c r="Q186" s="217"/>
    </row>
    <row r="187" spans="1:17" ht="14" x14ac:dyDescent="0.2">
      <c r="A187" s="166">
        <v>46069</v>
      </c>
      <c r="B187" s="189" t="s">
        <v>760</v>
      </c>
      <c r="C187" s="256" t="s">
        <v>868</v>
      </c>
      <c r="D187" s="233"/>
      <c r="E187" s="190"/>
      <c r="F187" s="189"/>
      <c r="G187" s="189" t="s">
        <v>624</v>
      </c>
      <c r="H187" s="359"/>
      <c r="I187" s="349">
        <v>43.47</v>
      </c>
      <c r="J187" s="257"/>
      <c r="K187" s="211">
        <f t="shared" si="24"/>
        <v>43.47</v>
      </c>
      <c r="L187" s="211"/>
      <c r="M187" s="211">
        <f t="shared" si="27"/>
        <v>43.47</v>
      </c>
      <c r="N187" s="258"/>
      <c r="O187" s="257"/>
      <c r="P187" s="212">
        <f t="shared" si="29"/>
        <v>20226.269999999979</v>
      </c>
      <c r="Q187" s="217"/>
    </row>
    <row r="188" spans="1:17" ht="14" x14ac:dyDescent="0.2">
      <c r="A188" s="166">
        <v>46069</v>
      </c>
      <c r="B188" s="189" t="s">
        <v>873</v>
      </c>
      <c r="C188" s="256" t="s">
        <v>874</v>
      </c>
      <c r="D188" s="233"/>
      <c r="E188" s="190"/>
      <c r="F188" s="189"/>
      <c r="G188" s="189" t="s">
        <v>23</v>
      </c>
      <c r="H188" s="359"/>
      <c r="I188" s="349">
        <v>877.49</v>
      </c>
      <c r="J188" s="257"/>
      <c r="K188" s="211">
        <f t="shared" si="24"/>
        <v>877.49</v>
      </c>
      <c r="L188" s="211"/>
      <c r="M188" s="211">
        <f t="shared" si="27"/>
        <v>877.49</v>
      </c>
      <c r="N188" s="258">
        <v>-877.49</v>
      </c>
      <c r="O188" s="257"/>
      <c r="P188" s="212">
        <f t="shared" si="29"/>
        <v>19348.779999999977</v>
      </c>
      <c r="Q188" s="217"/>
    </row>
    <row r="189" spans="1:17" ht="14" x14ac:dyDescent="0.2">
      <c r="A189" s="166">
        <v>46070</v>
      </c>
      <c r="B189" s="167" t="s">
        <v>545</v>
      </c>
      <c r="C189" s="256" t="s">
        <v>611</v>
      </c>
      <c r="D189" s="233">
        <v>476686970</v>
      </c>
      <c r="E189" s="190" t="s">
        <v>106</v>
      </c>
      <c r="F189" s="189"/>
      <c r="G189" s="189" t="s">
        <v>27</v>
      </c>
      <c r="H189" s="359"/>
      <c r="I189" s="349">
        <v>4.25</v>
      </c>
      <c r="J189" s="257"/>
      <c r="K189" s="211">
        <f t="shared" si="24"/>
        <v>4.25</v>
      </c>
      <c r="L189" s="211"/>
      <c r="M189" s="211">
        <f t="shared" si="27"/>
        <v>4.25</v>
      </c>
      <c r="N189" s="258">
        <v>-4.25</v>
      </c>
      <c r="O189" s="257"/>
      <c r="P189" s="212">
        <f t="shared" si="29"/>
        <v>19344.529999999977</v>
      </c>
      <c r="Q189" s="217"/>
    </row>
    <row r="190" spans="1:17" ht="14" x14ac:dyDescent="0.2">
      <c r="A190" s="166">
        <v>46077</v>
      </c>
      <c r="B190" s="189" t="s">
        <v>863</v>
      </c>
      <c r="C190" s="256" t="s">
        <v>864</v>
      </c>
      <c r="D190" s="233">
        <v>2119</v>
      </c>
      <c r="E190" s="190" t="s">
        <v>106</v>
      </c>
      <c r="F190" s="11" t="s">
        <v>948</v>
      </c>
      <c r="G190" s="189" t="s">
        <v>163</v>
      </c>
      <c r="H190" s="359"/>
      <c r="I190" s="349">
        <v>36</v>
      </c>
      <c r="J190" s="257"/>
      <c r="K190" s="211">
        <f t="shared" si="24"/>
        <v>36</v>
      </c>
      <c r="L190" s="211">
        <v>6</v>
      </c>
      <c r="M190" s="211">
        <f t="shared" si="27"/>
        <v>30</v>
      </c>
      <c r="N190" s="258">
        <v>-36</v>
      </c>
      <c r="O190" s="257"/>
      <c r="P190" s="212">
        <f t="shared" si="29"/>
        <v>19308.529999999977</v>
      </c>
      <c r="Q190" s="217"/>
    </row>
    <row r="191" spans="1:17" ht="28" x14ac:dyDescent="0.2">
      <c r="A191" s="166">
        <v>46090</v>
      </c>
      <c r="B191" s="189" t="s">
        <v>541</v>
      </c>
      <c r="C191" s="256" t="s">
        <v>875</v>
      </c>
      <c r="D191" s="268">
        <v>46087</v>
      </c>
      <c r="E191" s="190" t="s">
        <v>106</v>
      </c>
      <c r="F191" s="189"/>
      <c r="G191" s="189" t="s">
        <v>148</v>
      </c>
      <c r="H191" s="359"/>
      <c r="I191" s="349">
        <v>80</v>
      </c>
      <c r="J191" s="257"/>
      <c r="K191" s="211">
        <f t="shared" si="24"/>
        <v>80</v>
      </c>
      <c r="L191" s="211"/>
      <c r="M191" s="211">
        <f t="shared" si="27"/>
        <v>80</v>
      </c>
      <c r="N191" s="258">
        <v>-226.68</v>
      </c>
      <c r="O191" s="257"/>
      <c r="P191" s="212">
        <f t="shared" si="29"/>
        <v>19081.849999999977</v>
      </c>
      <c r="Q191" s="217"/>
    </row>
    <row r="192" spans="1:17" ht="14" x14ac:dyDescent="0.2">
      <c r="A192" s="166">
        <v>46090</v>
      </c>
      <c r="B192" s="189" t="s">
        <v>541</v>
      </c>
      <c r="C192" s="256" t="s">
        <v>876</v>
      </c>
      <c r="D192" s="233" t="s">
        <v>877</v>
      </c>
      <c r="E192" s="190" t="s">
        <v>106</v>
      </c>
      <c r="F192" s="11" t="s">
        <v>948</v>
      </c>
      <c r="G192" s="189" t="s">
        <v>148</v>
      </c>
      <c r="H192" s="359"/>
      <c r="I192" s="349">
        <v>146.68</v>
      </c>
      <c r="J192" s="257"/>
      <c r="K192" s="211">
        <f t="shared" si="24"/>
        <v>146.68</v>
      </c>
      <c r="L192" s="211">
        <v>24.45</v>
      </c>
      <c r="M192" s="211">
        <f t="shared" si="27"/>
        <v>122.23</v>
      </c>
      <c r="N192" s="258"/>
      <c r="O192" s="257"/>
      <c r="P192" s="212">
        <f t="shared" si="29"/>
        <v>19081.849999999977</v>
      </c>
      <c r="Q192" s="217"/>
    </row>
    <row r="193" spans="1:17" ht="14" x14ac:dyDescent="0.2">
      <c r="A193" s="166">
        <v>46097</v>
      </c>
      <c r="B193" s="189" t="s">
        <v>878</v>
      </c>
      <c r="C193" s="253" t="s">
        <v>880</v>
      </c>
      <c r="D193" s="233"/>
      <c r="E193" s="214"/>
      <c r="F193" s="215"/>
      <c r="G193" s="189" t="s">
        <v>13</v>
      </c>
      <c r="H193" s="359"/>
      <c r="I193" s="357">
        <v>73.5</v>
      </c>
      <c r="J193" s="257"/>
      <c r="K193" s="211">
        <f t="shared" si="24"/>
        <v>73.5</v>
      </c>
      <c r="L193" s="211"/>
      <c r="M193" s="211">
        <f t="shared" ref="M193:M196" si="30">K193-L193</f>
        <v>73.5</v>
      </c>
      <c r="N193" s="258">
        <v>-105</v>
      </c>
      <c r="O193" s="257"/>
      <c r="P193" s="212">
        <f t="shared" si="29"/>
        <v>18976.849999999977</v>
      </c>
      <c r="Q193" s="217"/>
    </row>
    <row r="194" spans="1:17" ht="14" x14ac:dyDescent="0.2">
      <c r="A194" s="166">
        <v>46097</v>
      </c>
      <c r="B194" s="189" t="s">
        <v>879</v>
      </c>
      <c r="C194" s="253" t="s">
        <v>880</v>
      </c>
      <c r="D194" s="233"/>
      <c r="E194" s="214"/>
      <c r="F194" s="215"/>
      <c r="G194" s="189" t="s">
        <v>13</v>
      </c>
      <c r="H194" s="359"/>
      <c r="I194" s="357">
        <v>294.14</v>
      </c>
      <c r="J194" s="257"/>
      <c r="K194" s="211">
        <f t="shared" si="24"/>
        <v>294.14</v>
      </c>
      <c r="L194" s="211"/>
      <c r="M194" s="211">
        <f t="shared" si="30"/>
        <v>294.14</v>
      </c>
      <c r="N194" s="258">
        <v>-422.45</v>
      </c>
      <c r="O194" s="257"/>
      <c r="P194" s="212">
        <f t="shared" si="29"/>
        <v>18554.399999999976</v>
      </c>
      <c r="Q194" s="217"/>
    </row>
    <row r="195" spans="1:17" ht="14" x14ac:dyDescent="0.2">
      <c r="A195" s="166">
        <v>46097</v>
      </c>
      <c r="B195" s="167" t="s">
        <v>879</v>
      </c>
      <c r="C195" s="253" t="s">
        <v>881</v>
      </c>
      <c r="D195" s="233"/>
      <c r="E195" s="190"/>
      <c r="F195" s="189"/>
      <c r="G195" s="189" t="s">
        <v>19</v>
      </c>
      <c r="H195" s="359"/>
      <c r="I195" s="357">
        <v>2.25</v>
      </c>
      <c r="J195" s="257"/>
      <c r="K195" s="211">
        <f t="shared" si="24"/>
        <v>2.25</v>
      </c>
      <c r="L195" s="211"/>
      <c r="M195" s="211">
        <f t="shared" si="30"/>
        <v>2.25</v>
      </c>
      <c r="N195" s="258"/>
      <c r="O195" s="257"/>
      <c r="P195" s="212">
        <f t="shared" si="29"/>
        <v>18554.399999999976</v>
      </c>
      <c r="Q195" s="217"/>
    </row>
    <row r="196" spans="1:17" ht="14" x14ac:dyDescent="0.2">
      <c r="A196" s="166">
        <v>46097</v>
      </c>
      <c r="B196" s="167" t="s">
        <v>878</v>
      </c>
      <c r="C196" s="253" t="s">
        <v>882</v>
      </c>
      <c r="D196" s="233"/>
      <c r="E196" s="190"/>
      <c r="F196" s="189"/>
      <c r="G196" s="189" t="s">
        <v>17</v>
      </c>
      <c r="H196" s="359"/>
      <c r="I196" s="357">
        <v>31.5</v>
      </c>
      <c r="J196" s="257"/>
      <c r="K196" s="211">
        <f t="shared" si="24"/>
        <v>31.5</v>
      </c>
      <c r="L196" s="211"/>
      <c r="M196" s="211">
        <f t="shared" si="30"/>
        <v>31.5</v>
      </c>
      <c r="N196" s="258"/>
      <c r="O196" s="257"/>
      <c r="P196" s="212">
        <f t="shared" si="29"/>
        <v>18554.399999999976</v>
      </c>
      <c r="Q196" s="217"/>
    </row>
    <row r="197" spans="1:17" ht="14" x14ac:dyDescent="0.2">
      <c r="A197" s="166">
        <v>46097</v>
      </c>
      <c r="B197" s="167" t="s">
        <v>879</v>
      </c>
      <c r="C197" s="253" t="s">
        <v>882</v>
      </c>
      <c r="D197" s="233"/>
      <c r="E197" s="190"/>
      <c r="F197" s="189"/>
      <c r="G197" s="189" t="s">
        <v>17</v>
      </c>
      <c r="H197" s="359"/>
      <c r="I197" s="357">
        <v>126.06</v>
      </c>
      <c r="J197" s="257"/>
      <c r="K197" s="211">
        <f t="shared" si="24"/>
        <v>126.06</v>
      </c>
      <c r="L197" s="211"/>
      <c r="M197" s="211">
        <f t="shared" si="27"/>
        <v>126.06</v>
      </c>
      <c r="N197" s="258"/>
      <c r="O197" s="257"/>
      <c r="P197" s="212">
        <f t="shared" si="29"/>
        <v>18554.399999999976</v>
      </c>
      <c r="Q197" s="217"/>
    </row>
    <row r="198" spans="1:17" ht="14" x14ac:dyDescent="0.2">
      <c r="A198" s="166">
        <v>46097</v>
      </c>
      <c r="B198" s="189" t="s">
        <v>760</v>
      </c>
      <c r="C198" s="256" t="s">
        <v>883</v>
      </c>
      <c r="D198" s="233"/>
      <c r="E198" s="190"/>
      <c r="F198" s="189"/>
      <c r="G198" s="189" t="s">
        <v>624</v>
      </c>
      <c r="H198" s="359"/>
      <c r="I198" s="349">
        <v>16.23</v>
      </c>
      <c r="J198" s="257"/>
      <c r="K198" s="211">
        <f t="shared" si="24"/>
        <v>16.23</v>
      </c>
      <c r="L198" s="211"/>
      <c r="M198" s="211">
        <f t="shared" si="27"/>
        <v>16.23</v>
      </c>
      <c r="N198" s="258">
        <v>-16.23</v>
      </c>
      <c r="O198" s="257"/>
      <c r="P198" s="212">
        <f t="shared" si="29"/>
        <v>18538.169999999976</v>
      </c>
      <c r="Q198" s="217"/>
    </row>
    <row r="199" spans="1:17" ht="14" x14ac:dyDescent="0.2">
      <c r="A199" s="166">
        <v>46097</v>
      </c>
      <c r="B199" s="189" t="s">
        <v>328</v>
      </c>
      <c r="C199" s="256" t="s">
        <v>884</v>
      </c>
      <c r="D199" s="233" t="s">
        <v>945</v>
      </c>
      <c r="E199" s="190" t="s">
        <v>106</v>
      </c>
      <c r="F199" s="11" t="s">
        <v>948</v>
      </c>
      <c r="G199" s="189" t="s">
        <v>19</v>
      </c>
      <c r="H199" s="359"/>
      <c r="I199" s="349">
        <v>5.96</v>
      </c>
      <c r="J199" s="257"/>
      <c r="K199" s="211">
        <f t="shared" si="24"/>
        <v>5.96</v>
      </c>
      <c r="L199" s="211">
        <v>0.99</v>
      </c>
      <c r="M199" s="211">
        <f t="shared" ref="M199:M201" si="31">K199-L199</f>
        <v>4.97</v>
      </c>
      <c r="N199" s="258">
        <v>-5.96</v>
      </c>
      <c r="O199" s="257"/>
      <c r="P199" s="212">
        <f t="shared" si="29"/>
        <v>18532.209999999977</v>
      </c>
      <c r="Q199" s="217"/>
    </row>
    <row r="200" spans="1:17" ht="28" x14ac:dyDescent="0.2">
      <c r="A200" s="166">
        <v>46097</v>
      </c>
      <c r="B200" s="189" t="s">
        <v>528</v>
      </c>
      <c r="C200" s="256" t="s">
        <v>952</v>
      </c>
      <c r="D200" s="233" t="s">
        <v>249</v>
      </c>
      <c r="E200" s="190" t="s">
        <v>106</v>
      </c>
      <c r="F200" s="11" t="s">
        <v>948</v>
      </c>
      <c r="G200" s="189" t="s">
        <v>148</v>
      </c>
      <c r="H200" s="359"/>
      <c r="I200" s="349">
        <v>5.99</v>
      </c>
      <c r="J200" s="257"/>
      <c r="K200" s="211">
        <f t="shared" si="24"/>
        <v>5.99</v>
      </c>
      <c r="L200" s="211">
        <v>1</v>
      </c>
      <c r="M200" s="211">
        <f t="shared" si="31"/>
        <v>4.99</v>
      </c>
      <c r="N200" s="258">
        <v>-5.99</v>
      </c>
      <c r="O200" s="257"/>
      <c r="P200" s="212">
        <f t="shared" si="29"/>
        <v>18526.219999999976</v>
      </c>
      <c r="Q200" s="217"/>
    </row>
    <row r="201" spans="1:17" ht="14" x14ac:dyDescent="0.2">
      <c r="A201" s="166">
        <v>46098</v>
      </c>
      <c r="B201" s="189" t="s">
        <v>545</v>
      </c>
      <c r="C201" s="256" t="s">
        <v>611</v>
      </c>
      <c r="D201" s="233">
        <v>479153693</v>
      </c>
      <c r="E201" s="190" t="s">
        <v>106</v>
      </c>
      <c r="F201" s="189"/>
      <c r="G201" s="189" t="s">
        <v>27</v>
      </c>
      <c r="H201" s="359"/>
      <c r="I201" s="349">
        <v>4.25</v>
      </c>
      <c r="J201" s="257"/>
      <c r="K201" s="211">
        <f t="shared" si="24"/>
        <v>4.25</v>
      </c>
      <c r="L201" s="211"/>
      <c r="M201" s="211">
        <f t="shared" si="31"/>
        <v>4.25</v>
      </c>
      <c r="N201" s="258">
        <v>-4.25</v>
      </c>
      <c r="O201" s="257"/>
      <c r="P201" s="212">
        <f t="shared" si="29"/>
        <v>18521.969999999976</v>
      </c>
      <c r="Q201" s="217"/>
    </row>
    <row r="202" spans="1:17" ht="14" x14ac:dyDescent="0.2">
      <c r="A202" s="269">
        <v>46100</v>
      </c>
      <c r="B202" s="270" t="s">
        <v>93</v>
      </c>
      <c r="C202" s="271" t="s">
        <v>947</v>
      </c>
      <c r="D202" s="272">
        <v>603601499</v>
      </c>
      <c r="E202" s="273" t="s">
        <v>106</v>
      </c>
      <c r="F202" s="402" t="s">
        <v>948</v>
      </c>
      <c r="G202" s="270" t="s">
        <v>60</v>
      </c>
      <c r="H202" s="403"/>
      <c r="I202" s="404">
        <v>494.2</v>
      </c>
      <c r="J202" s="274"/>
      <c r="K202" s="275">
        <f t="shared" si="24"/>
        <v>494.2</v>
      </c>
      <c r="L202" s="275">
        <v>82.36</v>
      </c>
      <c r="M202" s="275">
        <f t="shared" si="27"/>
        <v>411.84</v>
      </c>
      <c r="N202" s="274">
        <v>-494.2</v>
      </c>
      <c r="O202" s="274"/>
      <c r="P202" s="275">
        <f t="shared" si="29"/>
        <v>18027.769999999975</v>
      </c>
      <c r="Q202" s="276" t="s">
        <v>887</v>
      </c>
    </row>
    <row r="203" spans="1:17" ht="14" x14ac:dyDescent="0.2">
      <c r="A203" s="166">
        <v>46122</v>
      </c>
      <c r="B203" s="189" t="s">
        <v>119</v>
      </c>
      <c r="C203" s="253" t="s">
        <v>919</v>
      </c>
      <c r="D203" s="233" t="s">
        <v>239</v>
      </c>
      <c r="E203" s="190" t="s">
        <v>106</v>
      </c>
      <c r="F203" s="277" t="s">
        <v>886</v>
      </c>
      <c r="G203" s="189" t="s">
        <v>4</v>
      </c>
      <c r="H203" s="359">
        <v>13750</v>
      </c>
      <c r="I203" s="349"/>
      <c r="J203" s="257"/>
      <c r="K203" s="211">
        <f t="shared" si="24"/>
        <v>0</v>
      </c>
      <c r="L203" s="211"/>
      <c r="M203" s="211">
        <f t="shared" si="27"/>
        <v>0</v>
      </c>
      <c r="N203" s="258">
        <v>13750</v>
      </c>
      <c r="O203" s="257"/>
      <c r="P203" s="212">
        <f t="shared" si="29"/>
        <v>31777.769999999975</v>
      </c>
      <c r="Q203" s="217"/>
    </row>
    <row r="204" spans="1:17" ht="14" x14ac:dyDescent="0.2">
      <c r="A204" s="166">
        <v>46125</v>
      </c>
      <c r="B204" s="189" t="s">
        <v>930</v>
      </c>
      <c r="C204" s="253" t="s">
        <v>934</v>
      </c>
      <c r="D204" s="233"/>
      <c r="E204" s="214"/>
      <c r="F204" s="215"/>
      <c r="G204" s="189" t="s">
        <v>13</v>
      </c>
      <c r="H204" s="359"/>
      <c r="I204" s="357">
        <v>73.5</v>
      </c>
      <c r="J204" s="257"/>
      <c r="K204" s="211">
        <f t="shared" si="24"/>
        <v>73.5</v>
      </c>
      <c r="L204" s="211"/>
      <c r="M204" s="211">
        <f t="shared" si="27"/>
        <v>73.5</v>
      </c>
      <c r="N204" s="258">
        <v>-105</v>
      </c>
      <c r="O204" s="257"/>
      <c r="P204" s="212">
        <f t="shared" si="29"/>
        <v>31672.769999999975</v>
      </c>
      <c r="Q204" s="217"/>
    </row>
    <row r="205" spans="1:17" ht="14" x14ac:dyDescent="0.2">
      <c r="A205" s="166">
        <v>46125</v>
      </c>
      <c r="B205" s="189" t="s">
        <v>931</v>
      </c>
      <c r="C205" s="253" t="s">
        <v>934</v>
      </c>
      <c r="D205" s="233"/>
      <c r="E205" s="214"/>
      <c r="F205" s="215"/>
      <c r="G205" s="189" t="s">
        <v>13</v>
      </c>
      <c r="H205" s="359"/>
      <c r="I205" s="357">
        <v>294.14</v>
      </c>
      <c r="J205" s="257"/>
      <c r="K205" s="211">
        <f t="shared" si="24"/>
        <v>294.14</v>
      </c>
      <c r="L205" s="211"/>
      <c r="M205" s="211">
        <f t="shared" si="27"/>
        <v>294.14</v>
      </c>
      <c r="N205" s="258">
        <v>-434.38</v>
      </c>
      <c r="O205" s="257"/>
      <c r="P205" s="212">
        <f t="shared" si="29"/>
        <v>31238.389999999974</v>
      </c>
      <c r="Q205" s="217"/>
    </row>
    <row r="206" spans="1:17" ht="14" x14ac:dyDescent="0.2">
      <c r="A206" s="166">
        <v>46125</v>
      </c>
      <c r="B206" s="167" t="s">
        <v>931</v>
      </c>
      <c r="C206" s="253" t="s">
        <v>379</v>
      </c>
      <c r="D206" s="233"/>
      <c r="E206" s="190"/>
      <c r="F206" s="189"/>
      <c r="G206" s="189" t="s">
        <v>19</v>
      </c>
      <c r="H206" s="359"/>
      <c r="I206" s="357">
        <v>14.18</v>
      </c>
      <c r="J206" s="257"/>
      <c r="K206" s="211">
        <f t="shared" si="24"/>
        <v>14.18</v>
      </c>
      <c r="L206" s="211"/>
      <c r="M206" s="211">
        <f t="shared" si="27"/>
        <v>14.18</v>
      </c>
      <c r="N206" s="258">
        <v>-16.23</v>
      </c>
      <c r="O206" s="257"/>
      <c r="P206" s="212">
        <f t="shared" si="29"/>
        <v>31222.159999999974</v>
      </c>
      <c r="Q206" s="217"/>
    </row>
    <row r="207" spans="1:17" ht="14" x14ac:dyDescent="0.2">
      <c r="A207" s="166">
        <v>46125</v>
      </c>
      <c r="B207" s="167" t="s">
        <v>932</v>
      </c>
      <c r="C207" s="253" t="s">
        <v>935</v>
      </c>
      <c r="D207" s="233"/>
      <c r="E207" s="190"/>
      <c r="F207" s="189"/>
      <c r="G207" s="189" t="s">
        <v>17</v>
      </c>
      <c r="H207" s="359"/>
      <c r="I207" s="357">
        <v>31.5</v>
      </c>
      <c r="J207" s="257"/>
      <c r="K207" s="211">
        <f t="shared" si="24"/>
        <v>31.5</v>
      </c>
      <c r="L207" s="211"/>
      <c r="M207" s="211">
        <f t="shared" si="27"/>
        <v>31.5</v>
      </c>
      <c r="N207" s="258"/>
      <c r="O207" s="257"/>
      <c r="P207" s="212">
        <f t="shared" si="29"/>
        <v>31222.159999999974</v>
      </c>
      <c r="Q207" s="217"/>
    </row>
    <row r="208" spans="1:17" ht="14" x14ac:dyDescent="0.2">
      <c r="A208" s="166">
        <v>46125</v>
      </c>
      <c r="B208" s="167" t="s">
        <v>931</v>
      </c>
      <c r="C208" s="253" t="s">
        <v>935</v>
      </c>
      <c r="D208" s="233"/>
      <c r="E208" s="190"/>
      <c r="F208" s="189"/>
      <c r="G208" s="189" t="s">
        <v>17</v>
      </c>
      <c r="H208" s="359"/>
      <c r="I208" s="357">
        <v>126.06</v>
      </c>
      <c r="J208" s="257"/>
      <c r="K208" s="211">
        <f t="shared" si="24"/>
        <v>126.06</v>
      </c>
      <c r="L208" s="211"/>
      <c r="M208" s="211">
        <f t="shared" si="27"/>
        <v>126.06</v>
      </c>
      <c r="N208" s="258"/>
      <c r="O208" s="257"/>
      <c r="P208" s="212">
        <f t="shared" si="29"/>
        <v>31222.159999999974</v>
      </c>
      <c r="Q208" s="217"/>
    </row>
    <row r="209" spans="1:17" ht="14" x14ac:dyDescent="0.2">
      <c r="A209" s="166">
        <v>46125</v>
      </c>
      <c r="B209" s="189" t="s">
        <v>760</v>
      </c>
      <c r="C209" s="256" t="s">
        <v>933</v>
      </c>
      <c r="D209" s="233"/>
      <c r="E209" s="190"/>
      <c r="F209" s="189"/>
      <c r="G209" s="189" t="s">
        <v>624</v>
      </c>
      <c r="H209" s="359"/>
      <c r="I209" s="349">
        <v>16.23</v>
      </c>
      <c r="J209" s="257"/>
      <c r="K209" s="211">
        <f t="shared" si="24"/>
        <v>16.23</v>
      </c>
      <c r="L209" s="211"/>
      <c r="M209" s="211">
        <f t="shared" si="27"/>
        <v>16.23</v>
      </c>
      <c r="N209" s="258"/>
      <c r="O209" s="257"/>
      <c r="P209" s="212">
        <f t="shared" si="29"/>
        <v>31222.159999999974</v>
      </c>
      <c r="Q209" s="217"/>
    </row>
    <row r="210" spans="1:17" ht="14" x14ac:dyDescent="0.2">
      <c r="A210" s="166">
        <v>46125</v>
      </c>
      <c r="B210" s="189" t="s">
        <v>922</v>
      </c>
      <c r="C210" s="253" t="s">
        <v>920</v>
      </c>
      <c r="D210" s="233" t="s">
        <v>921</v>
      </c>
      <c r="E210" s="190" t="s">
        <v>106</v>
      </c>
      <c r="F210" s="11" t="s">
        <v>948</v>
      </c>
      <c r="G210" s="189" t="s">
        <v>61</v>
      </c>
      <c r="H210" s="359"/>
      <c r="I210" s="349">
        <v>75.180000000000007</v>
      </c>
      <c r="J210" s="257"/>
      <c r="K210" s="211">
        <f t="shared" si="24"/>
        <v>75.180000000000007</v>
      </c>
      <c r="L210" s="211">
        <v>12.53</v>
      </c>
      <c r="M210" s="211">
        <f t="shared" si="27"/>
        <v>62.650000000000006</v>
      </c>
      <c r="N210" s="258">
        <v>-75.180000000000007</v>
      </c>
      <c r="O210" s="257"/>
      <c r="P210" s="212">
        <f t="shared" si="29"/>
        <v>31146.979999999974</v>
      </c>
      <c r="Q210" s="217"/>
    </row>
    <row r="211" spans="1:17" ht="14" x14ac:dyDescent="0.2">
      <c r="A211" s="166">
        <v>46125</v>
      </c>
      <c r="B211" s="189" t="s">
        <v>291</v>
      </c>
      <c r="C211" s="253" t="s">
        <v>923</v>
      </c>
      <c r="D211" s="233">
        <v>9429</v>
      </c>
      <c r="E211" s="190" t="s">
        <v>106</v>
      </c>
      <c r="F211" s="11" t="s">
        <v>948</v>
      </c>
      <c r="G211" s="189" t="s">
        <v>53</v>
      </c>
      <c r="H211" s="359"/>
      <c r="I211" s="349">
        <v>492</v>
      </c>
      <c r="J211" s="257"/>
      <c r="K211" s="211">
        <f t="shared" si="24"/>
        <v>492</v>
      </c>
      <c r="L211" s="211">
        <v>82</v>
      </c>
      <c r="M211" s="211">
        <f t="shared" si="27"/>
        <v>410</v>
      </c>
      <c r="N211" s="258">
        <v>-492</v>
      </c>
      <c r="O211" s="257"/>
      <c r="P211" s="212">
        <f t="shared" si="29"/>
        <v>30654.979999999974</v>
      </c>
      <c r="Q211" s="217"/>
    </row>
    <row r="212" spans="1:17" ht="14" x14ac:dyDescent="0.2">
      <c r="A212" s="166">
        <v>46125</v>
      </c>
      <c r="B212" s="189" t="s">
        <v>296</v>
      </c>
      <c r="C212" s="253" t="s">
        <v>924</v>
      </c>
      <c r="D212" s="233">
        <v>326</v>
      </c>
      <c r="E212" s="190"/>
      <c r="F212" s="189"/>
      <c r="G212" s="189" t="s">
        <v>44</v>
      </c>
      <c r="H212" s="359"/>
      <c r="I212" s="349">
        <v>101.25</v>
      </c>
      <c r="J212" s="257"/>
      <c r="K212" s="211">
        <f t="shared" si="24"/>
        <v>101.25</v>
      </c>
      <c r="L212" s="211"/>
      <c r="M212" s="211">
        <f t="shared" si="27"/>
        <v>101.25</v>
      </c>
      <c r="N212" s="258">
        <v>-101.25</v>
      </c>
      <c r="O212" s="257"/>
      <c r="P212" s="212">
        <f t="shared" si="29"/>
        <v>30553.729999999974</v>
      </c>
      <c r="Q212" s="217"/>
    </row>
    <row r="213" spans="1:17" ht="14" x14ac:dyDescent="0.2">
      <c r="A213" s="166">
        <v>46125</v>
      </c>
      <c r="B213" s="189" t="s">
        <v>426</v>
      </c>
      <c r="C213" s="253" t="s">
        <v>925</v>
      </c>
      <c r="D213" s="233" t="s">
        <v>249</v>
      </c>
      <c r="E213" s="190" t="s">
        <v>106</v>
      </c>
      <c r="F213" s="189"/>
      <c r="G213" s="189" t="s">
        <v>477</v>
      </c>
      <c r="H213" s="359"/>
      <c r="I213" s="349">
        <v>4.75</v>
      </c>
      <c r="J213" s="257"/>
      <c r="K213" s="211">
        <f t="shared" si="24"/>
        <v>4.75</v>
      </c>
      <c r="L213" s="211"/>
      <c r="M213" s="211">
        <f t="shared" si="27"/>
        <v>4.75</v>
      </c>
      <c r="N213" s="258">
        <v>-4.75</v>
      </c>
      <c r="O213" s="257"/>
      <c r="P213" s="212">
        <f t="shared" si="29"/>
        <v>30548.979999999974</v>
      </c>
      <c r="Q213" s="217"/>
    </row>
    <row r="214" spans="1:17" ht="14" x14ac:dyDescent="0.2">
      <c r="A214" s="166">
        <v>46125</v>
      </c>
      <c r="B214" s="189" t="s">
        <v>426</v>
      </c>
      <c r="C214" s="253" t="s">
        <v>926</v>
      </c>
      <c r="D214" s="233" t="s">
        <v>249</v>
      </c>
      <c r="E214" s="190" t="s">
        <v>106</v>
      </c>
      <c r="F214" s="11" t="s">
        <v>948</v>
      </c>
      <c r="G214" s="189" t="s">
        <v>61</v>
      </c>
      <c r="H214" s="359"/>
      <c r="I214" s="349">
        <v>7.99</v>
      </c>
      <c r="J214" s="257"/>
      <c r="K214" s="211">
        <f t="shared" si="24"/>
        <v>7.99</v>
      </c>
      <c r="L214" s="211">
        <v>1.33</v>
      </c>
      <c r="M214" s="211">
        <f t="shared" si="27"/>
        <v>6.66</v>
      </c>
      <c r="N214" s="258">
        <v>-7.99</v>
      </c>
      <c r="O214" s="257"/>
      <c r="P214" s="212">
        <f t="shared" si="29"/>
        <v>30540.989999999972</v>
      </c>
      <c r="Q214" s="217"/>
    </row>
    <row r="215" spans="1:17" ht="28" x14ac:dyDescent="0.2">
      <c r="A215" s="236">
        <v>46127</v>
      </c>
      <c r="B215" s="189" t="s">
        <v>927</v>
      </c>
      <c r="C215" s="253" t="s">
        <v>928</v>
      </c>
      <c r="D215" s="233" t="s">
        <v>929</v>
      </c>
      <c r="E215" s="190"/>
      <c r="F215" s="277" t="s">
        <v>886</v>
      </c>
      <c r="G215" s="189" t="s">
        <v>34</v>
      </c>
      <c r="H215" s="359"/>
      <c r="I215" s="349">
        <v>150</v>
      </c>
      <c r="J215" s="257"/>
      <c r="K215" s="211">
        <f t="shared" ref="K215:K222" si="32">I215</f>
        <v>150</v>
      </c>
      <c r="L215" s="211"/>
      <c r="M215" s="211">
        <f t="shared" ref="M215:M220" si="33">K215-L215</f>
        <v>150</v>
      </c>
      <c r="N215" s="258">
        <v>-150</v>
      </c>
      <c r="O215" s="257"/>
      <c r="P215" s="212">
        <f t="shared" si="29"/>
        <v>30390.989999999972</v>
      </c>
      <c r="Q215" s="217"/>
    </row>
    <row r="216" spans="1:17" ht="14" x14ac:dyDescent="0.2">
      <c r="A216" s="236">
        <v>46132</v>
      </c>
      <c r="B216" s="189" t="s">
        <v>577</v>
      </c>
      <c r="C216" s="254" t="s">
        <v>939</v>
      </c>
      <c r="D216" s="233">
        <v>17023</v>
      </c>
      <c r="E216" s="190" t="s">
        <v>106</v>
      </c>
      <c r="F216" s="11" t="s">
        <v>948</v>
      </c>
      <c r="G216" s="189" t="s">
        <v>50</v>
      </c>
      <c r="H216" s="359"/>
      <c r="I216" s="349">
        <v>1041.08</v>
      </c>
      <c r="J216" s="257"/>
      <c r="K216" s="211">
        <f t="shared" si="32"/>
        <v>1041.08</v>
      </c>
      <c r="L216" s="211">
        <v>173.52</v>
      </c>
      <c r="M216" s="211">
        <f t="shared" si="33"/>
        <v>867.56</v>
      </c>
      <c r="N216" s="258">
        <v>-1041.08</v>
      </c>
      <c r="O216" s="257"/>
      <c r="P216" s="212">
        <f t="shared" si="29"/>
        <v>29349.909999999974</v>
      </c>
      <c r="Q216" s="385"/>
    </row>
    <row r="217" spans="1:17" ht="28" x14ac:dyDescent="0.2">
      <c r="A217" s="236">
        <v>46132</v>
      </c>
      <c r="B217" s="189" t="s">
        <v>94</v>
      </c>
      <c r="C217" s="253" t="s">
        <v>940</v>
      </c>
      <c r="D217" s="233" t="s">
        <v>941</v>
      </c>
      <c r="E217" s="190" t="s">
        <v>106</v>
      </c>
      <c r="F217" s="277" t="s">
        <v>886</v>
      </c>
      <c r="G217" s="189" t="s">
        <v>30</v>
      </c>
      <c r="H217" s="359"/>
      <c r="I217" s="349">
        <v>313.82</v>
      </c>
      <c r="J217" s="257"/>
      <c r="K217" s="211">
        <f t="shared" si="32"/>
        <v>313.82</v>
      </c>
      <c r="L217" s="211"/>
      <c r="M217" s="211">
        <f t="shared" si="33"/>
        <v>313.82</v>
      </c>
      <c r="N217" s="258">
        <v>-313.82</v>
      </c>
      <c r="O217" s="257"/>
      <c r="P217" s="212">
        <f t="shared" si="29"/>
        <v>29036.089999999975</v>
      </c>
      <c r="Q217" s="217"/>
    </row>
    <row r="218" spans="1:17" ht="14" x14ac:dyDescent="0.2">
      <c r="A218" s="236">
        <v>46132</v>
      </c>
      <c r="B218" s="189" t="s">
        <v>528</v>
      </c>
      <c r="C218" s="253" t="s">
        <v>942</v>
      </c>
      <c r="D218" s="233" t="s">
        <v>249</v>
      </c>
      <c r="E218" s="190" t="s">
        <v>106</v>
      </c>
      <c r="F218" s="277" t="s">
        <v>886</v>
      </c>
      <c r="G218" s="189" t="s">
        <v>156</v>
      </c>
      <c r="H218" s="359"/>
      <c r="I218" s="349">
        <v>5.95</v>
      </c>
      <c r="J218" s="257"/>
      <c r="K218" s="211">
        <f t="shared" si="32"/>
        <v>5.95</v>
      </c>
      <c r="L218" s="211"/>
      <c r="M218" s="211">
        <f t="shared" si="33"/>
        <v>5.95</v>
      </c>
      <c r="N218" s="258">
        <v>-5.95</v>
      </c>
      <c r="O218" s="257"/>
      <c r="P218" s="212">
        <f t="shared" si="29"/>
        <v>29030.139999999974</v>
      </c>
      <c r="Q218" s="217"/>
    </row>
    <row r="219" spans="1:17" ht="28" x14ac:dyDescent="0.2">
      <c r="A219" s="236">
        <v>46132</v>
      </c>
      <c r="B219" s="189" t="s">
        <v>33</v>
      </c>
      <c r="C219" s="253" t="s">
        <v>949</v>
      </c>
      <c r="D219" s="233" t="s">
        <v>950</v>
      </c>
      <c r="E219" s="190" t="s">
        <v>106</v>
      </c>
      <c r="F219" s="277" t="s">
        <v>886</v>
      </c>
      <c r="G219" s="189" t="s">
        <v>32</v>
      </c>
      <c r="H219" s="359"/>
      <c r="I219" s="349">
        <v>158</v>
      </c>
      <c r="J219" s="257"/>
      <c r="K219" s="211">
        <f t="shared" si="32"/>
        <v>158</v>
      </c>
      <c r="L219" s="211"/>
      <c r="M219" s="211">
        <f t="shared" si="33"/>
        <v>158</v>
      </c>
      <c r="N219" s="258">
        <v>-158</v>
      </c>
      <c r="O219" s="257"/>
      <c r="P219" s="212">
        <f t="shared" si="29"/>
        <v>28872.139999999974</v>
      </c>
      <c r="Q219" s="217"/>
    </row>
    <row r="220" spans="1:17" ht="14" x14ac:dyDescent="0.2">
      <c r="A220" s="236">
        <v>46132</v>
      </c>
      <c r="B220" s="189" t="s">
        <v>545</v>
      </c>
      <c r="C220" s="256" t="s">
        <v>611</v>
      </c>
      <c r="D220" s="233">
        <v>481667354</v>
      </c>
      <c r="E220" s="190"/>
      <c r="F220" s="277" t="s">
        <v>886</v>
      </c>
      <c r="G220" s="189" t="s">
        <v>27</v>
      </c>
      <c r="H220" s="359"/>
      <c r="I220" s="349">
        <v>4.25</v>
      </c>
      <c r="J220" s="257"/>
      <c r="K220" s="211">
        <f t="shared" si="32"/>
        <v>4.25</v>
      </c>
      <c r="L220" s="211"/>
      <c r="M220" s="211">
        <f t="shared" si="33"/>
        <v>4.25</v>
      </c>
      <c r="N220" s="258">
        <v>-4.25</v>
      </c>
      <c r="O220" s="257"/>
      <c r="P220" s="212">
        <f t="shared" si="29"/>
        <v>28867.889999999974</v>
      </c>
      <c r="Q220" s="217"/>
    </row>
    <row r="221" spans="1:17" ht="14" x14ac:dyDescent="0.2">
      <c r="A221" s="236">
        <v>46135</v>
      </c>
      <c r="B221" s="189" t="s">
        <v>119</v>
      </c>
      <c r="C221" s="253" t="s">
        <v>1044</v>
      </c>
      <c r="D221" s="233" t="s">
        <v>1040</v>
      </c>
      <c r="E221" s="190"/>
      <c r="F221" s="277" t="s">
        <v>886</v>
      </c>
      <c r="G221" s="189" t="s">
        <v>48</v>
      </c>
      <c r="H221" s="359">
        <v>8.33</v>
      </c>
      <c r="I221" s="349"/>
      <c r="J221" s="257"/>
      <c r="K221" s="211">
        <f t="shared" si="32"/>
        <v>0</v>
      </c>
      <c r="L221" s="211"/>
      <c r="M221" s="211"/>
      <c r="N221" s="258">
        <v>8.33</v>
      </c>
      <c r="O221" s="257"/>
      <c r="P221" s="212">
        <f t="shared" si="29"/>
        <v>28876.219999999976</v>
      </c>
      <c r="Q221" s="217"/>
    </row>
    <row r="222" spans="1:17" ht="28" x14ac:dyDescent="0.2">
      <c r="A222" s="236">
        <v>46136</v>
      </c>
      <c r="B222" s="189" t="s">
        <v>96</v>
      </c>
      <c r="C222" s="254" t="s">
        <v>938</v>
      </c>
      <c r="D222" s="233">
        <v>10418445</v>
      </c>
      <c r="E222" s="190" t="s">
        <v>106</v>
      </c>
      <c r="F222" s="277" t="s">
        <v>886</v>
      </c>
      <c r="G222" s="189" t="s">
        <v>48</v>
      </c>
      <c r="H222" s="359"/>
      <c r="I222" s="349">
        <v>150.6</v>
      </c>
      <c r="J222" s="257"/>
      <c r="K222" s="211">
        <f t="shared" si="32"/>
        <v>150.6</v>
      </c>
      <c r="L222" s="211"/>
      <c r="M222" s="211">
        <f>K222-L222</f>
        <v>150.6</v>
      </c>
      <c r="N222" s="258">
        <v>-150.6</v>
      </c>
      <c r="O222" s="257"/>
      <c r="P222" s="212">
        <f t="shared" si="29"/>
        <v>28725.619999999977</v>
      </c>
      <c r="Q222" s="217"/>
    </row>
    <row r="223" spans="1:17" ht="14" x14ac:dyDescent="0.2">
      <c r="A223" s="236">
        <v>46139</v>
      </c>
      <c r="B223" s="189" t="s">
        <v>119</v>
      </c>
      <c r="C223" s="253" t="s">
        <v>1042</v>
      </c>
      <c r="D223" s="233"/>
      <c r="E223" s="190"/>
      <c r="F223" s="277" t="s">
        <v>886</v>
      </c>
      <c r="G223" s="189" t="s">
        <v>9</v>
      </c>
      <c r="H223" s="359">
        <v>701.78</v>
      </c>
      <c r="I223" s="349"/>
      <c r="J223" s="257"/>
      <c r="K223" s="211">
        <f t="shared" ref="K223:K228" si="34">I223</f>
        <v>0</v>
      </c>
      <c r="L223" s="211"/>
      <c r="M223" s="211">
        <f t="shared" ref="M223:M228" si="35">K223-L223</f>
        <v>0</v>
      </c>
      <c r="N223" s="258">
        <v>701.78</v>
      </c>
      <c r="O223" s="257"/>
      <c r="P223" s="212">
        <f t="shared" si="29"/>
        <v>29427.399999999976</v>
      </c>
      <c r="Q223" s="217"/>
    </row>
    <row r="224" spans="1:17" ht="14" x14ac:dyDescent="0.2">
      <c r="A224" s="236">
        <v>46140</v>
      </c>
      <c r="B224" s="189" t="s">
        <v>119</v>
      </c>
      <c r="C224" s="254" t="s">
        <v>1043</v>
      </c>
      <c r="D224" s="233"/>
      <c r="E224" s="190"/>
      <c r="F224" s="277" t="s">
        <v>886</v>
      </c>
      <c r="G224" s="189" t="s">
        <v>9</v>
      </c>
      <c r="H224" s="359">
        <v>1555</v>
      </c>
      <c r="I224" s="349"/>
      <c r="J224" s="257"/>
      <c r="K224" s="211">
        <f t="shared" si="34"/>
        <v>0</v>
      </c>
      <c r="L224" s="211"/>
      <c r="M224" s="211">
        <f t="shared" si="35"/>
        <v>0</v>
      </c>
      <c r="N224" s="258">
        <v>1555</v>
      </c>
      <c r="O224" s="257"/>
      <c r="P224" s="212">
        <f t="shared" si="29"/>
        <v>30982.399999999976</v>
      </c>
      <c r="Q224" s="217"/>
    </row>
    <row r="225" spans="1:17" ht="14" x14ac:dyDescent="0.2">
      <c r="A225" s="236">
        <v>46142</v>
      </c>
      <c r="B225" s="189" t="s">
        <v>119</v>
      </c>
      <c r="C225" s="253" t="s">
        <v>1045</v>
      </c>
      <c r="D225" s="233" t="s">
        <v>1040</v>
      </c>
      <c r="E225" s="190"/>
      <c r="F225" s="277" t="s">
        <v>886</v>
      </c>
      <c r="G225" s="189" t="s">
        <v>48</v>
      </c>
      <c r="H225" s="359">
        <v>8.33</v>
      </c>
      <c r="I225" s="349"/>
      <c r="J225" s="257"/>
      <c r="K225" s="211">
        <f t="shared" si="34"/>
        <v>0</v>
      </c>
      <c r="L225" s="211"/>
      <c r="M225" s="211">
        <f t="shared" si="35"/>
        <v>0</v>
      </c>
      <c r="N225" s="258">
        <v>8.33</v>
      </c>
      <c r="O225" s="257"/>
      <c r="P225" s="212">
        <f t="shared" si="29"/>
        <v>30990.729999999978</v>
      </c>
      <c r="Q225" s="217" t="s">
        <v>1050</v>
      </c>
    </row>
    <row r="226" spans="1:17" ht="14" x14ac:dyDescent="0.2">
      <c r="A226" s="236">
        <v>46149</v>
      </c>
      <c r="B226" s="189" t="s">
        <v>1046</v>
      </c>
      <c r="C226" s="254" t="s">
        <v>1047</v>
      </c>
      <c r="D226" s="233">
        <v>2082</v>
      </c>
      <c r="E226" s="190" t="s">
        <v>106</v>
      </c>
      <c r="F226" s="277" t="s">
        <v>886</v>
      </c>
      <c r="G226" s="189" t="s">
        <v>25</v>
      </c>
      <c r="H226" s="359"/>
      <c r="I226" s="349">
        <v>231</v>
      </c>
      <c r="J226" s="257"/>
      <c r="K226" s="211">
        <f t="shared" si="34"/>
        <v>231</v>
      </c>
      <c r="L226" s="211">
        <v>38.5</v>
      </c>
      <c r="M226" s="211">
        <f t="shared" si="35"/>
        <v>192.5</v>
      </c>
      <c r="N226" s="258">
        <v>-231</v>
      </c>
      <c r="O226" s="257"/>
      <c r="P226" s="212">
        <f t="shared" si="29"/>
        <v>30759.729999999978</v>
      </c>
      <c r="Q226" s="217"/>
    </row>
    <row r="227" spans="1:17" x14ac:dyDescent="0.2">
      <c r="A227" s="236"/>
      <c r="B227" s="189"/>
      <c r="C227" s="253"/>
      <c r="D227" s="233"/>
      <c r="E227" s="190"/>
      <c r="F227" s="189"/>
      <c r="G227" s="189"/>
      <c r="H227" s="359"/>
      <c r="I227" s="349"/>
      <c r="J227" s="257"/>
      <c r="K227" s="211">
        <f t="shared" si="34"/>
        <v>0</v>
      </c>
      <c r="L227" s="211"/>
      <c r="M227" s="211">
        <f t="shared" si="35"/>
        <v>0</v>
      </c>
      <c r="N227" s="258"/>
      <c r="O227" s="257"/>
      <c r="P227" s="212">
        <f t="shared" si="29"/>
        <v>30759.729999999978</v>
      </c>
      <c r="Q227" s="217"/>
    </row>
    <row r="228" spans="1:17" x14ac:dyDescent="0.2">
      <c r="A228" s="236"/>
      <c r="B228" s="189"/>
      <c r="C228" s="256"/>
      <c r="D228" s="233"/>
      <c r="E228" s="190"/>
      <c r="F228" s="189"/>
      <c r="G228" s="189"/>
      <c r="H228" s="359"/>
      <c r="I228" s="349"/>
      <c r="J228" s="257"/>
      <c r="K228" s="211">
        <f t="shared" si="34"/>
        <v>0</v>
      </c>
      <c r="L228" s="211"/>
      <c r="M228" s="211">
        <f t="shared" si="35"/>
        <v>0</v>
      </c>
      <c r="N228" s="258"/>
      <c r="O228" s="257"/>
      <c r="P228" s="212">
        <f t="shared" si="29"/>
        <v>30759.729999999978</v>
      </c>
      <c r="Q228" s="217" t="s">
        <v>1041</v>
      </c>
    </row>
    <row r="229" spans="1:17" ht="14" x14ac:dyDescent="0.2">
      <c r="A229" s="166"/>
      <c r="B229" s="189"/>
      <c r="C229" s="256"/>
      <c r="D229" s="233"/>
      <c r="E229" s="190"/>
      <c r="F229" s="11"/>
      <c r="G229" s="189"/>
      <c r="H229" s="360">
        <f>SUM(H24:H228)</f>
        <v>46178.11</v>
      </c>
      <c r="I229" s="360">
        <f t="shared" ref="I229:M229" si="36">SUM(I24:I228)</f>
        <v>30605.450000000008</v>
      </c>
      <c r="J229" s="235">
        <f t="shared" si="36"/>
        <v>0</v>
      </c>
      <c r="K229" s="235">
        <f t="shared" si="36"/>
        <v>30605.450000000008</v>
      </c>
      <c r="L229" s="235">
        <f t="shared" si="36"/>
        <v>2823.6899999999996</v>
      </c>
      <c r="M229" s="235">
        <f t="shared" si="36"/>
        <v>27781.760000000009</v>
      </c>
      <c r="N229" s="230"/>
      <c r="O229" s="230"/>
      <c r="P229" s="230"/>
      <c r="Q229" s="231"/>
    </row>
    <row r="230" spans="1:17" x14ac:dyDescent="0.2">
      <c r="A230" s="166"/>
      <c r="B230" s="189"/>
      <c r="C230" s="256"/>
      <c r="D230" s="233"/>
      <c r="E230" s="190"/>
      <c r="F230" s="189"/>
      <c r="G230" s="189"/>
      <c r="H230" s="361"/>
      <c r="I230" s="357"/>
      <c r="J230" s="232"/>
      <c r="K230" s="211"/>
      <c r="L230" s="211"/>
      <c r="M230" s="211"/>
      <c r="N230" s="212"/>
      <c r="O230" s="216"/>
      <c r="P230" s="216"/>
    </row>
    <row r="231" spans="1:17" x14ac:dyDescent="0.2">
      <c r="A231" s="166"/>
      <c r="B231" s="189"/>
      <c r="C231" s="256"/>
      <c r="D231" s="233"/>
      <c r="E231" s="190"/>
      <c r="F231" s="189"/>
      <c r="G231" s="189"/>
      <c r="H231" s="362"/>
      <c r="I231" s="357"/>
      <c r="J231" s="216"/>
      <c r="K231" s="262">
        <f>K229-I229</f>
        <v>0</v>
      </c>
      <c r="L231" s="211"/>
      <c r="M231" s="211"/>
      <c r="N231" s="212"/>
      <c r="O231" s="216"/>
      <c r="P231" s="216"/>
    </row>
    <row r="233" spans="1:17" x14ac:dyDescent="0.2">
      <c r="L233" s="196">
        <f>L229-L162-L25</f>
        <v>2657.87</v>
      </c>
    </row>
  </sheetData>
  <sheetProtection selectLockedCells="1" selectUnlockedCells="1"/>
  <autoFilter ref="A4:R234" xr:uid="{01C5B94E-C5EF-A349-893B-7725938900E6}"/>
  <sortState xmlns:xlrd2="http://schemas.microsoft.com/office/spreadsheetml/2017/richdata2" ref="A215:N222">
    <sortCondition ref="A215:A222"/>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9DAA2-2966-5D41-8C53-C7677C369F4D}">
  <dimension ref="A1:R560"/>
  <sheetViews>
    <sheetView zoomScale="130" zoomScaleNormal="130" workbookViewId="0">
      <pane xSplit="1" ySplit="3" topLeftCell="B214" activePane="bottomRight" state="frozen"/>
      <selection pane="topRight" activeCell="B1" sqref="B1"/>
      <selection pane="bottomLeft" activeCell="A4" sqref="A4"/>
      <selection pane="bottomRight" activeCell="J229" sqref="J229:K229"/>
    </sheetView>
  </sheetViews>
  <sheetFormatPr baseColWidth="10" defaultRowHeight="15" x14ac:dyDescent="0.2"/>
  <cols>
    <col min="1" max="1" width="13.5" style="287" bestFit="1" customWidth="1"/>
    <col min="2" max="2" width="28" style="281" bestFit="1" customWidth="1"/>
    <col min="3" max="3" width="33.33203125" style="281" customWidth="1"/>
    <col min="4" max="4" width="13.1640625" style="281" customWidth="1"/>
    <col min="5" max="5" width="5.1640625" style="281" customWidth="1"/>
    <col min="6" max="6" width="17.83203125" style="281" bestFit="1" customWidth="1"/>
    <col min="7" max="7" width="9.1640625" style="281" bestFit="1" customWidth="1"/>
    <col min="8" max="8" width="11.6640625" style="304" customWidth="1"/>
    <col min="9" max="9" width="11.6640625" style="305" customWidth="1"/>
    <col min="10" max="11" width="11.6640625" style="296" customWidth="1"/>
    <col min="12" max="12" width="11.6640625" style="380" customWidth="1"/>
    <col min="13" max="13" width="11.6640625" style="296" customWidth="1"/>
    <col min="14" max="14" width="9.1640625" style="296" customWidth="1"/>
    <col min="15" max="15" width="12.1640625" style="296" customWidth="1"/>
    <col min="16" max="18" width="10.83203125" style="100"/>
    <col min="19" max="16384" width="10.83203125" style="281"/>
  </cols>
  <sheetData>
    <row r="1" spans="1:15" ht="34" customHeight="1" x14ac:dyDescent="0.2">
      <c r="A1" s="280" t="s">
        <v>115</v>
      </c>
      <c r="B1" s="100"/>
      <c r="C1" s="100"/>
      <c r="D1" s="100" t="s">
        <v>76</v>
      </c>
      <c r="E1" s="100"/>
      <c r="F1" s="100"/>
      <c r="G1" s="100" t="s">
        <v>77</v>
      </c>
      <c r="H1" s="297"/>
      <c r="I1" s="298" t="s">
        <v>78</v>
      </c>
      <c r="J1" s="320"/>
      <c r="K1" s="320"/>
      <c r="L1" s="335"/>
      <c r="M1" s="320"/>
      <c r="N1" s="320"/>
      <c r="O1" s="292"/>
    </row>
    <row r="2" spans="1:15" ht="16" x14ac:dyDescent="0.2">
      <c r="A2" s="280" t="s">
        <v>115</v>
      </c>
      <c r="B2" s="100"/>
      <c r="C2" s="100"/>
      <c r="D2" s="100"/>
      <c r="E2" s="100"/>
      <c r="F2" s="100"/>
      <c r="G2" s="100"/>
      <c r="H2" s="408" t="s">
        <v>79</v>
      </c>
      <c r="I2" s="408"/>
      <c r="J2" s="407" t="s">
        <v>888</v>
      </c>
      <c r="K2" s="407"/>
      <c r="L2" s="407"/>
      <c r="M2" s="407"/>
      <c r="N2" s="407"/>
      <c r="O2" s="293"/>
    </row>
    <row r="3" spans="1:15" ht="60" x14ac:dyDescent="0.2">
      <c r="A3" s="280" t="s">
        <v>81</v>
      </c>
      <c r="B3" s="100" t="s">
        <v>101</v>
      </c>
      <c r="C3" s="100" t="s">
        <v>102</v>
      </c>
      <c r="D3" s="100" t="s">
        <v>82</v>
      </c>
      <c r="E3" s="100" t="s">
        <v>105</v>
      </c>
      <c r="F3" s="100" t="s">
        <v>83</v>
      </c>
      <c r="G3" s="100" t="s">
        <v>84</v>
      </c>
      <c r="H3" s="306" t="s">
        <v>85</v>
      </c>
      <c r="I3" s="288" t="s">
        <v>86</v>
      </c>
      <c r="J3" s="279" t="s">
        <v>889</v>
      </c>
      <c r="K3" s="279" t="s">
        <v>890</v>
      </c>
      <c r="L3" s="279" t="s">
        <v>891</v>
      </c>
      <c r="M3" s="279" t="s">
        <v>895</v>
      </c>
      <c r="N3" s="279" t="s">
        <v>892</v>
      </c>
      <c r="O3" s="294" t="s">
        <v>91</v>
      </c>
    </row>
    <row r="4" spans="1:15" ht="16" x14ac:dyDescent="0.2">
      <c r="A4" s="282" t="s">
        <v>617</v>
      </c>
      <c r="B4" s="283" t="s">
        <v>618</v>
      </c>
      <c r="C4" s="100"/>
      <c r="D4" s="100"/>
      <c r="E4" s="100"/>
      <c r="F4" s="100"/>
      <c r="G4" s="100"/>
      <c r="H4" s="297"/>
      <c r="I4" s="298"/>
      <c r="J4" s="364" t="s">
        <v>893</v>
      </c>
      <c r="K4" s="320"/>
      <c r="L4" s="320"/>
      <c r="M4" s="320"/>
      <c r="N4" s="320"/>
      <c r="O4" s="292"/>
    </row>
    <row r="5" spans="1:15" ht="16" x14ac:dyDescent="0.2">
      <c r="A5" s="282">
        <v>45751</v>
      </c>
      <c r="B5" s="100" t="s">
        <v>119</v>
      </c>
      <c r="C5" s="100" t="s">
        <v>552</v>
      </c>
      <c r="D5" s="100" t="s">
        <v>249</v>
      </c>
      <c r="E5" s="100" t="s">
        <v>106</v>
      </c>
      <c r="F5" s="100"/>
      <c r="G5" s="100" t="s">
        <v>9</v>
      </c>
      <c r="H5" s="297">
        <v>135</v>
      </c>
      <c r="I5" s="298"/>
      <c r="J5" s="364" t="s">
        <v>893</v>
      </c>
      <c r="K5" s="320"/>
      <c r="L5" s="320"/>
      <c r="M5" s="320"/>
      <c r="N5" s="320"/>
      <c r="O5" s="292"/>
    </row>
    <row r="6" spans="1:15" ht="16" x14ac:dyDescent="0.2">
      <c r="A6" s="282">
        <v>45755</v>
      </c>
      <c r="B6" s="100" t="s">
        <v>591</v>
      </c>
      <c r="C6" s="100" t="s">
        <v>592</v>
      </c>
      <c r="D6" s="100">
        <v>603359682</v>
      </c>
      <c r="E6" s="100" t="s">
        <v>106</v>
      </c>
      <c r="F6" s="100" t="s">
        <v>621</v>
      </c>
      <c r="G6" s="100" t="s">
        <v>60</v>
      </c>
      <c r="H6" s="297"/>
      <c r="I6" s="298">
        <v>474.24</v>
      </c>
      <c r="J6" s="364" t="s">
        <v>893</v>
      </c>
      <c r="K6" s="320"/>
      <c r="L6" s="320"/>
      <c r="M6" s="320"/>
      <c r="N6" s="320"/>
      <c r="O6" s="292"/>
    </row>
    <row r="7" spans="1:15" ht="16" x14ac:dyDescent="0.2">
      <c r="A7" s="282">
        <v>45758</v>
      </c>
      <c r="B7" s="100" t="s">
        <v>119</v>
      </c>
      <c r="C7" s="100" t="s">
        <v>590</v>
      </c>
      <c r="D7" s="100" t="s">
        <v>239</v>
      </c>
      <c r="E7" s="100" t="s">
        <v>106</v>
      </c>
      <c r="F7" s="100"/>
      <c r="G7" s="100" t="s">
        <v>9</v>
      </c>
      <c r="H7" s="297">
        <v>250</v>
      </c>
      <c r="I7" s="298"/>
      <c r="J7" s="364" t="s">
        <v>893</v>
      </c>
      <c r="K7" s="320"/>
      <c r="L7" s="320"/>
      <c r="M7" s="320"/>
      <c r="N7" s="320"/>
      <c r="O7" s="292"/>
    </row>
    <row r="8" spans="1:15" ht="16" x14ac:dyDescent="0.2">
      <c r="A8" s="282">
        <v>45762</v>
      </c>
      <c r="B8" s="100" t="s">
        <v>565</v>
      </c>
      <c r="C8" s="100" t="s">
        <v>378</v>
      </c>
      <c r="D8" s="100"/>
      <c r="E8" s="100"/>
      <c r="F8" s="100"/>
      <c r="G8" s="100" t="s">
        <v>13</v>
      </c>
      <c r="H8" s="297"/>
      <c r="I8" s="298">
        <v>72.8</v>
      </c>
      <c r="J8" s="364" t="s">
        <v>893</v>
      </c>
      <c r="K8" s="320"/>
      <c r="L8" s="320"/>
      <c r="M8" s="320"/>
      <c r="N8" s="320"/>
      <c r="O8" s="292"/>
    </row>
    <row r="9" spans="1:15" ht="16" x14ac:dyDescent="0.2">
      <c r="A9" s="282">
        <v>45762</v>
      </c>
      <c r="B9" s="100" t="s">
        <v>566</v>
      </c>
      <c r="C9" s="100" t="s">
        <v>378</v>
      </c>
      <c r="D9" s="100"/>
      <c r="E9" s="100"/>
      <c r="F9" s="100"/>
      <c r="G9" s="100" t="s">
        <v>13</v>
      </c>
      <c r="H9" s="297"/>
      <c r="I9" s="298">
        <v>291.2</v>
      </c>
      <c r="J9" s="364" t="s">
        <v>893</v>
      </c>
      <c r="K9" s="320"/>
      <c r="L9" s="320"/>
      <c r="M9" s="320"/>
      <c r="N9" s="320"/>
      <c r="O9" s="292"/>
    </row>
    <row r="10" spans="1:15" ht="16" x14ac:dyDescent="0.2">
      <c r="A10" s="282">
        <v>45762</v>
      </c>
      <c r="B10" s="100" t="s">
        <v>567</v>
      </c>
      <c r="C10" s="100" t="s">
        <v>379</v>
      </c>
      <c r="D10" s="100"/>
      <c r="E10" s="100"/>
      <c r="F10" s="100"/>
      <c r="G10" s="100" t="s">
        <v>19</v>
      </c>
      <c r="H10" s="297"/>
      <c r="I10" s="298">
        <v>14.63</v>
      </c>
      <c r="J10" s="364" t="s">
        <v>893</v>
      </c>
      <c r="K10" s="320"/>
      <c r="L10" s="320"/>
      <c r="M10" s="320"/>
      <c r="N10" s="320"/>
      <c r="O10" s="292"/>
    </row>
    <row r="11" spans="1:15" ht="16" x14ac:dyDescent="0.2">
      <c r="A11" s="282">
        <v>45762</v>
      </c>
      <c r="B11" s="100" t="s">
        <v>568</v>
      </c>
      <c r="C11" s="100" t="s">
        <v>467</v>
      </c>
      <c r="D11" s="100"/>
      <c r="E11" s="100"/>
      <c r="F11" s="100"/>
      <c r="G11" s="100" t="s">
        <v>17</v>
      </c>
      <c r="H11" s="297"/>
      <c r="I11" s="298">
        <v>31.2</v>
      </c>
      <c r="J11" s="364" t="s">
        <v>893</v>
      </c>
      <c r="K11" s="320"/>
      <c r="L11" s="320"/>
      <c r="M11" s="320"/>
      <c r="N11" s="320"/>
      <c r="O11" s="292"/>
    </row>
    <row r="12" spans="1:15" ht="16" x14ac:dyDescent="0.2">
      <c r="A12" s="282">
        <v>45762</v>
      </c>
      <c r="B12" s="100" t="s">
        <v>569</v>
      </c>
      <c r="C12" s="100" t="s">
        <v>467</v>
      </c>
      <c r="D12" s="100"/>
      <c r="E12" s="100"/>
      <c r="F12" s="100"/>
      <c r="G12" s="100" t="s">
        <v>17</v>
      </c>
      <c r="H12" s="297"/>
      <c r="I12" s="298">
        <v>124.8</v>
      </c>
      <c r="J12" s="364" t="s">
        <v>893</v>
      </c>
      <c r="K12" s="320"/>
      <c r="L12" s="320"/>
      <c r="M12" s="320"/>
      <c r="N12" s="320"/>
      <c r="O12" s="292"/>
    </row>
    <row r="13" spans="1:15" ht="32" x14ac:dyDescent="0.2">
      <c r="A13" s="282">
        <v>45769</v>
      </c>
      <c r="B13" s="100" t="s">
        <v>134</v>
      </c>
      <c r="C13" s="100" t="s">
        <v>570</v>
      </c>
      <c r="D13" s="100" t="s">
        <v>583</v>
      </c>
      <c r="E13" s="100" t="s">
        <v>106</v>
      </c>
      <c r="F13" s="100" t="s">
        <v>621</v>
      </c>
      <c r="G13" s="100" t="s">
        <v>61</v>
      </c>
      <c r="H13" s="297"/>
      <c r="I13" s="298">
        <v>9.89</v>
      </c>
      <c r="J13" s="364" t="s">
        <v>893</v>
      </c>
      <c r="K13" s="320"/>
      <c r="L13" s="320"/>
      <c r="M13" s="320"/>
      <c r="N13" s="320"/>
      <c r="O13" s="292"/>
    </row>
    <row r="14" spans="1:15" ht="16" x14ac:dyDescent="0.2">
      <c r="A14" s="282">
        <v>45769</v>
      </c>
      <c r="B14" s="100" t="s">
        <v>134</v>
      </c>
      <c r="C14" s="100" t="s">
        <v>571</v>
      </c>
      <c r="D14" s="100" t="s">
        <v>584</v>
      </c>
      <c r="E14" s="100" t="s">
        <v>106</v>
      </c>
      <c r="F14" s="100" t="s">
        <v>621</v>
      </c>
      <c r="G14" s="100" t="s">
        <v>61</v>
      </c>
      <c r="H14" s="297"/>
      <c r="I14" s="298">
        <v>18.04</v>
      </c>
      <c r="J14" s="364" t="s">
        <v>893</v>
      </c>
      <c r="K14" s="320"/>
      <c r="L14" s="320"/>
      <c r="M14" s="320"/>
      <c r="N14" s="320"/>
      <c r="O14" s="292"/>
    </row>
    <row r="15" spans="1:15" ht="16" x14ac:dyDescent="0.2">
      <c r="A15" s="282">
        <v>45769</v>
      </c>
      <c r="B15" s="100" t="s">
        <v>95</v>
      </c>
      <c r="C15" s="100" t="s">
        <v>572</v>
      </c>
      <c r="D15" s="100" t="s">
        <v>249</v>
      </c>
      <c r="E15" s="100" t="s">
        <v>106</v>
      </c>
      <c r="F15" s="100"/>
      <c r="G15" s="100" t="s">
        <v>19</v>
      </c>
      <c r="H15" s="297"/>
      <c r="I15" s="298">
        <v>42.5</v>
      </c>
      <c r="J15" s="364" t="s">
        <v>893</v>
      </c>
      <c r="K15" s="320"/>
      <c r="L15" s="320"/>
      <c r="M15" s="320"/>
      <c r="N15" s="320"/>
      <c r="O15" s="292"/>
    </row>
    <row r="16" spans="1:15" ht="16" x14ac:dyDescent="0.2">
      <c r="A16" s="282">
        <v>45769</v>
      </c>
      <c r="B16" s="100" t="s">
        <v>95</v>
      </c>
      <c r="C16" s="100" t="s">
        <v>573</v>
      </c>
      <c r="D16" s="100" t="s">
        <v>585</v>
      </c>
      <c r="E16" s="100" t="s">
        <v>106</v>
      </c>
      <c r="F16" s="100"/>
      <c r="G16" s="100" t="s">
        <v>19</v>
      </c>
      <c r="H16" s="297"/>
      <c r="I16" s="298">
        <v>11.96</v>
      </c>
      <c r="J16" s="364" t="s">
        <v>893</v>
      </c>
      <c r="K16" s="320"/>
      <c r="L16" s="320"/>
      <c r="M16" s="320"/>
      <c r="N16" s="320"/>
      <c r="O16" s="292"/>
    </row>
    <row r="17" spans="1:18" ht="16" x14ac:dyDescent="0.2">
      <c r="A17" s="282">
        <v>45769</v>
      </c>
      <c r="B17" s="100" t="s">
        <v>255</v>
      </c>
      <c r="C17" s="100" t="s">
        <v>574</v>
      </c>
      <c r="D17" s="100" t="s">
        <v>249</v>
      </c>
      <c r="E17" s="100" t="s">
        <v>106</v>
      </c>
      <c r="F17" s="100"/>
      <c r="G17" s="100" t="s">
        <v>477</v>
      </c>
      <c r="H17" s="297"/>
      <c r="I17" s="298">
        <v>54.84</v>
      </c>
      <c r="J17" s="364" t="s">
        <v>893</v>
      </c>
      <c r="K17" s="320"/>
      <c r="L17" s="320"/>
      <c r="M17" s="320"/>
      <c r="N17" s="320"/>
      <c r="O17" s="292"/>
    </row>
    <row r="18" spans="1:18" ht="16" x14ac:dyDescent="0.2">
      <c r="A18" s="282">
        <v>45769</v>
      </c>
      <c r="B18" s="100" t="s">
        <v>426</v>
      </c>
      <c r="C18" s="100" t="s">
        <v>574</v>
      </c>
      <c r="D18" s="100" t="s">
        <v>249</v>
      </c>
      <c r="E18" s="100" t="s">
        <v>106</v>
      </c>
      <c r="F18" s="100"/>
      <c r="G18" s="100" t="s">
        <v>477</v>
      </c>
      <c r="H18" s="297"/>
      <c r="I18" s="298">
        <v>33.950000000000003</v>
      </c>
      <c r="J18" s="364" t="s">
        <v>893</v>
      </c>
      <c r="K18" s="320"/>
      <c r="L18" s="320"/>
      <c r="M18" s="320"/>
      <c r="N18" s="320"/>
      <c r="O18" s="292"/>
    </row>
    <row r="19" spans="1:18" ht="16" x14ac:dyDescent="0.2">
      <c r="A19" s="282">
        <v>45769</v>
      </c>
      <c r="B19" s="100" t="s">
        <v>507</v>
      </c>
      <c r="C19" s="100" t="s">
        <v>575</v>
      </c>
      <c r="D19" s="100" t="s">
        <v>586</v>
      </c>
      <c r="E19" s="100" t="s">
        <v>106</v>
      </c>
      <c r="F19" s="100"/>
      <c r="G19" s="100" t="s">
        <v>477</v>
      </c>
      <c r="H19" s="297"/>
      <c r="I19" s="298">
        <v>30</v>
      </c>
      <c r="J19" s="364" t="s">
        <v>893</v>
      </c>
      <c r="K19" s="320"/>
      <c r="L19" s="320"/>
      <c r="M19" s="320"/>
      <c r="N19" s="320"/>
      <c r="O19" s="292"/>
    </row>
    <row r="20" spans="1:18" ht="32" x14ac:dyDescent="0.2">
      <c r="A20" s="282">
        <v>45769</v>
      </c>
      <c r="B20" s="100" t="s">
        <v>296</v>
      </c>
      <c r="C20" s="100" t="s">
        <v>576</v>
      </c>
      <c r="D20" s="100" t="s">
        <v>587</v>
      </c>
      <c r="E20" s="100" t="s">
        <v>106</v>
      </c>
      <c r="F20" s="100"/>
      <c r="G20" s="100" t="s">
        <v>44</v>
      </c>
      <c r="H20" s="297"/>
      <c r="I20" s="298">
        <v>202.5</v>
      </c>
      <c r="J20" s="364" t="s">
        <v>893</v>
      </c>
      <c r="K20" s="320"/>
      <c r="L20" s="320"/>
      <c r="M20" s="320"/>
      <c r="N20" s="320"/>
      <c r="O20" s="292"/>
    </row>
    <row r="21" spans="1:18" ht="16" x14ac:dyDescent="0.2">
      <c r="A21" s="282">
        <v>45769</v>
      </c>
      <c r="B21" s="100" t="s">
        <v>580</v>
      </c>
      <c r="C21" s="100" t="s">
        <v>581</v>
      </c>
      <c r="D21" s="100" t="s">
        <v>589</v>
      </c>
      <c r="E21" s="100" t="s">
        <v>106</v>
      </c>
      <c r="F21" s="100" t="s">
        <v>621</v>
      </c>
      <c r="G21" s="100" t="s">
        <v>98</v>
      </c>
      <c r="H21" s="297"/>
      <c r="I21" s="298">
        <v>333.6</v>
      </c>
      <c r="J21" s="364" t="s">
        <v>893</v>
      </c>
      <c r="K21" s="320"/>
      <c r="L21" s="320"/>
      <c r="M21" s="320"/>
      <c r="N21" s="320"/>
      <c r="O21" s="292"/>
    </row>
    <row r="22" spans="1:18" s="286" customFormat="1" ht="16" x14ac:dyDescent="0.2">
      <c r="A22" s="284"/>
      <c r="B22" s="285"/>
      <c r="C22" s="285"/>
      <c r="D22" s="285"/>
      <c r="E22" s="285"/>
      <c r="F22" s="285"/>
      <c r="G22" s="285"/>
      <c r="H22" s="299" t="s">
        <v>894</v>
      </c>
      <c r="I22" s="299" t="s">
        <v>894</v>
      </c>
      <c r="J22" s="334"/>
      <c r="K22" s="334"/>
      <c r="L22" s="334"/>
      <c r="M22" s="334"/>
      <c r="N22" s="334"/>
      <c r="O22" s="295"/>
      <c r="P22" s="285"/>
      <c r="Q22" s="285"/>
      <c r="R22" s="285"/>
    </row>
    <row r="23" spans="1:18" ht="16" x14ac:dyDescent="0.2">
      <c r="A23" s="280">
        <v>45762</v>
      </c>
      <c r="B23" s="100" t="s">
        <v>119</v>
      </c>
      <c r="C23" s="100" t="s">
        <v>604</v>
      </c>
      <c r="D23" s="100" t="s">
        <v>239</v>
      </c>
      <c r="E23" s="100"/>
      <c r="F23" s="100"/>
      <c r="G23" s="100" t="s">
        <v>4</v>
      </c>
      <c r="H23" s="297">
        <v>13250</v>
      </c>
      <c r="I23" s="298">
        <v>0</v>
      </c>
      <c r="J23" s="335">
        <f>H23</f>
        <v>13250</v>
      </c>
      <c r="K23" s="320"/>
      <c r="L23" s="320"/>
      <c r="M23" s="320"/>
      <c r="N23" s="320"/>
      <c r="O23" s="292"/>
    </row>
    <row r="24" spans="1:18" ht="16" x14ac:dyDescent="0.2">
      <c r="A24" s="280">
        <v>45769</v>
      </c>
      <c r="B24" s="100" t="s">
        <v>577</v>
      </c>
      <c r="C24" s="100" t="s">
        <v>578</v>
      </c>
      <c r="D24" s="100">
        <v>16431</v>
      </c>
      <c r="E24" s="100" t="s">
        <v>106</v>
      </c>
      <c r="F24" s="100" t="s">
        <v>621</v>
      </c>
      <c r="G24" s="100" t="s">
        <v>50</v>
      </c>
      <c r="H24" s="297"/>
      <c r="I24" s="298">
        <v>567.74</v>
      </c>
      <c r="J24" s="320"/>
      <c r="K24" s="320"/>
      <c r="L24" s="320"/>
      <c r="M24" s="335">
        <f>I24</f>
        <v>567.74</v>
      </c>
      <c r="N24" s="320"/>
      <c r="O24" s="292"/>
    </row>
    <row r="25" spans="1:18" ht="16" x14ac:dyDescent="0.2">
      <c r="A25" s="280">
        <v>45769</v>
      </c>
      <c r="B25" s="100" t="s">
        <v>94</v>
      </c>
      <c r="C25" s="100" t="s">
        <v>579</v>
      </c>
      <c r="D25" s="100">
        <v>1930</v>
      </c>
      <c r="E25" s="100" t="s">
        <v>106</v>
      </c>
      <c r="F25" s="100"/>
      <c r="G25" s="100" t="s">
        <v>30</v>
      </c>
      <c r="H25" s="297"/>
      <c r="I25" s="298">
        <v>314.7</v>
      </c>
      <c r="J25" s="320"/>
      <c r="K25" s="320"/>
      <c r="L25" s="320"/>
      <c r="M25" s="335">
        <f t="shared" ref="M25:M28" si="0">I25</f>
        <v>314.7</v>
      </c>
      <c r="N25" s="320"/>
      <c r="O25" s="292"/>
    </row>
    <row r="26" spans="1:18" ht="32" x14ac:dyDescent="0.2">
      <c r="A26" s="280">
        <v>45769</v>
      </c>
      <c r="B26" s="100" t="s">
        <v>33</v>
      </c>
      <c r="C26" s="100" t="s">
        <v>582</v>
      </c>
      <c r="D26" s="100" t="s">
        <v>588</v>
      </c>
      <c r="E26" s="100" t="s">
        <v>106</v>
      </c>
      <c r="F26" s="100"/>
      <c r="G26" s="100" t="s">
        <v>32</v>
      </c>
      <c r="H26" s="297"/>
      <c r="I26" s="298">
        <v>150</v>
      </c>
      <c r="J26" s="320"/>
      <c r="K26" s="320"/>
      <c r="L26" s="320"/>
      <c r="M26" s="335">
        <f t="shared" si="0"/>
        <v>150</v>
      </c>
      <c r="N26" s="320"/>
      <c r="O26" s="292"/>
    </row>
    <row r="27" spans="1:18" ht="16" x14ac:dyDescent="0.2">
      <c r="A27" s="280">
        <v>45769</v>
      </c>
      <c r="B27" s="100" t="s">
        <v>545</v>
      </c>
      <c r="C27" s="100" t="s">
        <v>611</v>
      </c>
      <c r="D27" s="100">
        <v>452271923</v>
      </c>
      <c r="E27" s="100" t="s">
        <v>106</v>
      </c>
      <c r="F27" s="100"/>
      <c r="G27" s="100" t="s">
        <v>27</v>
      </c>
      <c r="H27" s="297"/>
      <c r="I27" s="298">
        <v>4.25</v>
      </c>
      <c r="J27" s="320"/>
      <c r="K27" s="320"/>
      <c r="L27" s="320"/>
      <c r="M27" s="335">
        <f t="shared" si="0"/>
        <v>4.25</v>
      </c>
      <c r="N27" s="320"/>
      <c r="O27" s="292"/>
    </row>
    <row r="28" spans="1:18" ht="16" x14ac:dyDescent="0.2">
      <c r="A28" s="280">
        <v>45771</v>
      </c>
      <c r="B28" s="100" t="s">
        <v>96</v>
      </c>
      <c r="C28" s="100" t="s">
        <v>612</v>
      </c>
      <c r="D28" s="100">
        <v>7663658</v>
      </c>
      <c r="E28" s="100" t="s">
        <v>106</v>
      </c>
      <c r="F28" s="100"/>
      <c r="G28" s="100" t="s">
        <v>48</v>
      </c>
      <c r="H28" s="297"/>
      <c r="I28" s="298">
        <v>35.01</v>
      </c>
      <c r="J28" s="320"/>
      <c r="K28" s="320"/>
      <c r="L28" s="320"/>
      <c r="M28" s="335">
        <f t="shared" si="0"/>
        <v>35.01</v>
      </c>
      <c r="N28" s="320"/>
      <c r="O28" s="292"/>
    </row>
    <row r="29" spans="1:18" ht="16" x14ac:dyDescent="0.2">
      <c r="A29" s="280">
        <v>45772</v>
      </c>
      <c r="B29" s="100" t="s">
        <v>119</v>
      </c>
      <c r="C29" s="100" t="s">
        <v>613</v>
      </c>
      <c r="D29" s="100"/>
      <c r="E29" s="100"/>
      <c r="F29" s="100"/>
      <c r="G29" s="100" t="s">
        <v>9</v>
      </c>
      <c r="H29" s="297">
        <v>729.88</v>
      </c>
      <c r="I29" s="298">
        <v>0</v>
      </c>
      <c r="J29" s="320"/>
      <c r="K29" s="335">
        <f>H29</f>
        <v>729.88</v>
      </c>
      <c r="L29" s="320"/>
      <c r="M29" s="320"/>
      <c r="N29" s="320"/>
      <c r="O29" s="292"/>
    </row>
    <row r="30" spans="1:18" ht="16" x14ac:dyDescent="0.2">
      <c r="A30" s="280">
        <v>45777</v>
      </c>
      <c r="B30" s="100" t="s">
        <v>614</v>
      </c>
      <c r="C30" s="100" t="s">
        <v>615</v>
      </c>
      <c r="D30" s="100" t="s">
        <v>239</v>
      </c>
      <c r="E30" s="100" t="s">
        <v>106</v>
      </c>
      <c r="F30" s="100"/>
      <c r="G30" s="100" t="s">
        <v>34</v>
      </c>
      <c r="H30" s="297"/>
      <c r="I30" s="298">
        <v>100</v>
      </c>
      <c r="J30" s="320"/>
      <c r="K30" s="320"/>
      <c r="L30" s="320"/>
      <c r="M30" s="335">
        <f t="shared" ref="M30:M31" si="1">I30</f>
        <v>100</v>
      </c>
      <c r="N30" s="320"/>
      <c r="O30" s="292"/>
    </row>
    <row r="31" spans="1:18" ht="16" x14ac:dyDescent="0.2">
      <c r="A31" s="280">
        <v>45777</v>
      </c>
      <c r="B31" s="100" t="s">
        <v>485</v>
      </c>
      <c r="C31" s="100" t="s">
        <v>486</v>
      </c>
      <c r="D31" s="100" t="s">
        <v>616</v>
      </c>
      <c r="E31" s="100" t="s">
        <v>106</v>
      </c>
      <c r="F31" s="100" t="s">
        <v>831</v>
      </c>
      <c r="G31" s="100" t="s">
        <v>25</v>
      </c>
      <c r="H31" s="297"/>
      <c r="I31" s="298">
        <v>273</v>
      </c>
      <c r="J31" s="320"/>
      <c r="K31" s="320"/>
      <c r="L31" s="320"/>
      <c r="M31" s="335">
        <f t="shared" si="1"/>
        <v>273</v>
      </c>
      <c r="N31" s="320"/>
      <c r="O31" s="292"/>
    </row>
    <row r="32" spans="1:18" ht="16" x14ac:dyDescent="0.2">
      <c r="A32" s="280">
        <v>45790</v>
      </c>
      <c r="B32" s="100" t="s">
        <v>626</v>
      </c>
      <c r="C32" s="100" t="s">
        <v>627</v>
      </c>
      <c r="D32" s="100"/>
      <c r="E32" s="100"/>
      <c r="F32" s="100"/>
      <c r="G32" s="100" t="s">
        <v>13</v>
      </c>
      <c r="H32" s="297"/>
      <c r="I32" s="298">
        <v>73.5</v>
      </c>
      <c r="J32" s="320"/>
      <c r="K32" s="320"/>
      <c r="L32" s="335">
        <f>I32</f>
        <v>73.5</v>
      </c>
      <c r="M32" s="320"/>
      <c r="N32" s="320"/>
      <c r="O32" s="292"/>
    </row>
    <row r="33" spans="1:15" ht="16" x14ac:dyDescent="0.2">
      <c r="A33" s="280">
        <v>45790</v>
      </c>
      <c r="B33" s="100" t="s">
        <v>630</v>
      </c>
      <c r="C33" s="100" t="s">
        <v>627</v>
      </c>
      <c r="D33" s="100"/>
      <c r="E33" s="100"/>
      <c r="F33" s="100"/>
      <c r="G33" s="100" t="s">
        <v>13</v>
      </c>
      <c r="H33" s="297"/>
      <c r="I33" s="298">
        <v>294.14</v>
      </c>
      <c r="J33" s="320"/>
      <c r="K33" s="320"/>
      <c r="L33" s="335">
        <f>I33</f>
        <v>294.14</v>
      </c>
      <c r="M33" s="320"/>
      <c r="N33" s="320"/>
      <c r="O33" s="292"/>
    </row>
    <row r="34" spans="1:15" ht="16" x14ac:dyDescent="0.2">
      <c r="A34" s="280">
        <v>45790</v>
      </c>
      <c r="B34" s="100" t="s">
        <v>630</v>
      </c>
      <c r="C34" s="100" t="s">
        <v>628</v>
      </c>
      <c r="D34" s="100"/>
      <c r="E34" s="100"/>
      <c r="F34" s="100"/>
      <c r="G34" s="100" t="s">
        <v>19</v>
      </c>
      <c r="H34" s="297"/>
      <c r="I34" s="298">
        <v>2.25</v>
      </c>
      <c r="J34" s="320"/>
      <c r="K34" s="320"/>
      <c r="L34" s="320"/>
      <c r="M34" s="335">
        <f>I34</f>
        <v>2.25</v>
      </c>
      <c r="N34" s="320"/>
      <c r="O34" s="292"/>
    </row>
    <row r="35" spans="1:15" ht="16" x14ac:dyDescent="0.2">
      <c r="A35" s="280">
        <v>45790</v>
      </c>
      <c r="B35" s="100" t="s">
        <v>631</v>
      </c>
      <c r="C35" s="100" t="s">
        <v>629</v>
      </c>
      <c r="D35" s="100"/>
      <c r="E35" s="100"/>
      <c r="F35" s="100"/>
      <c r="G35" s="100" t="s">
        <v>17</v>
      </c>
      <c r="H35" s="297"/>
      <c r="I35" s="298">
        <v>31.5</v>
      </c>
      <c r="J35" s="320"/>
      <c r="K35" s="320"/>
      <c r="L35" s="335">
        <f t="shared" ref="L35:L36" si="2">I35</f>
        <v>31.5</v>
      </c>
      <c r="M35" s="320"/>
      <c r="N35" s="320"/>
      <c r="O35" s="292"/>
    </row>
    <row r="36" spans="1:15" ht="16" x14ac:dyDescent="0.2">
      <c r="A36" s="280">
        <v>45790</v>
      </c>
      <c r="B36" s="100" t="s">
        <v>630</v>
      </c>
      <c r="C36" s="100" t="s">
        <v>629</v>
      </c>
      <c r="D36" s="100"/>
      <c r="E36" s="100"/>
      <c r="F36" s="100"/>
      <c r="G36" s="100" t="s">
        <v>17</v>
      </c>
      <c r="H36" s="297"/>
      <c r="I36" s="298">
        <v>126.06</v>
      </c>
      <c r="J36" s="320"/>
      <c r="K36" s="320"/>
      <c r="L36" s="335">
        <f t="shared" si="2"/>
        <v>126.06</v>
      </c>
      <c r="M36" s="320"/>
      <c r="N36" s="320"/>
      <c r="O36" s="292"/>
    </row>
    <row r="37" spans="1:15" ht="16" x14ac:dyDescent="0.2">
      <c r="A37" s="280">
        <v>45790</v>
      </c>
      <c r="B37" s="100" t="s">
        <v>577</v>
      </c>
      <c r="C37" s="100" t="s">
        <v>632</v>
      </c>
      <c r="D37" s="100">
        <v>16490</v>
      </c>
      <c r="E37" s="100" t="s">
        <v>106</v>
      </c>
      <c r="F37" s="100" t="s">
        <v>831</v>
      </c>
      <c r="G37" s="100" t="s">
        <v>50</v>
      </c>
      <c r="H37" s="297"/>
      <c r="I37" s="298">
        <v>1118.5</v>
      </c>
      <c r="J37" s="320"/>
      <c r="K37" s="320"/>
      <c r="L37" s="320"/>
      <c r="M37" s="335">
        <f t="shared" ref="M37:M41" si="3">I37</f>
        <v>1118.5</v>
      </c>
      <c r="N37" s="320"/>
      <c r="O37" s="292"/>
    </row>
    <row r="38" spans="1:15" ht="16" x14ac:dyDescent="0.2">
      <c r="A38" s="280">
        <v>45790</v>
      </c>
      <c r="B38" s="100" t="s">
        <v>95</v>
      </c>
      <c r="C38" s="100" t="s">
        <v>633</v>
      </c>
      <c r="D38" s="100" t="s">
        <v>249</v>
      </c>
      <c r="E38" s="100" t="s">
        <v>106</v>
      </c>
      <c r="F38" s="100" t="s">
        <v>831</v>
      </c>
      <c r="G38" s="100" t="s">
        <v>19</v>
      </c>
      <c r="H38" s="297"/>
      <c r="I38" s="298">
        <v>73.849999999999994</v>
      </c>
      <c r="J38" s="320"/>
      <c r="K38" s="320"/>
      <c r="L38" s="320"/>
      <c r="M38" s="335">
        <f t="shared" si="3"/>
        <v>73.849999999999994</v>
      </c>
      <c r="N38" s="320"/>
      <c r="O38" s="292"/>
    </row>
    <row r="39" spans="1:15" ht="16" x14ac:dyDescent="0.2">
      <c r="A39" s="280">
        <v>45796</v>
      </c>
      <c r="B39" s="100" t="s">
        <v>545</v>
      </c>
      <c r="C39" s="100" t="s">
        <v>611</v>
      </c>
      <c r="D39" s="100">
        <v>454726520</v>
      </c>
      <c r="E39" s="100" t="s">
        <v>106</v>
      </c>
      <c r="F39" s="100"/>
      <c r="G39" s="100" t="s">
        <v>27</v>
      </c>
      <c r="H39" s="297"/>
      <c r="I39" s="298">
        <v>4.25</v>
      </c>
      <c r="J39" s="320"/>
      <c r="K39" s="320"/>
      <c r="L39" s="320"/>
      <c r="M39" s="335">
        <f t="shared" si="3"/>
        <v>4.25</v>
      </c>
      <c r="N39" s="320"/>
      <c r="O39" s="292"/>
    </row>
    <row r="40" spans="1:15" ht="16" x14ac:dyDescent="0.2">
      <c r="A40" s="280">
        <v>45797</v>
      </c>
      <c r="B40" s="100" t="s">
        <v>393</v>
      </c>
      <c r="C40" s="100" t="s">
        <v>394</v>
      </c>
      <c r="D40" s="100" t="s">
        <v>634</v>
      </c>
      <c r="E40" s="100" t="s">
        <v>106</v>
      </c>
      <c r="F40" s="100" t="s">
        <v>831</v>
      </c>
      <c r="G40" s="100" t="s">
        <v>19</v>
      </c>
      <c r="H40" s="297"/>
      <c r="I40" s="298">
        <v>45</v>
      </c>
      <c r="J40" s="320"/>
      <c r="K40" s="320"/>
      <c r="L40" s="320"/>
      <c r="M40" s="335">
        <f t="shared" si="3"/>
        <v>45</v>
      </c>
      <c r="N40" s="320"/>
      <c r="O40" s="292"/>
    </row>
    <row r="41" spans="1:15" ht="32" x14ac:dyDescent="0.2">
      <c r="A41" s="280">
        <v>45797</v>
      </c>
      <c r="B41" s="100" t="s">
        <v>95</v>
      </c>
      <c r="C41" s="100" t="s">
        <v>635</v>
      </c>
      <c r="D41" s="100" t="s">
        <v>647</v>
      </c>
      <c r="E41" s="100" t="s">
        <v>106</v>
      </c>
      <c r="F41" s="100" t="s">
        <v>831</v>
      </c>
      <c r="G41" s="100" t="s">
        <v>19</v>
      </c>
      <c r="H41" s="297"/>
      <c r="I41" s="298">
        <v>26.02</v>
      </c>
      <c r="J41" s="320"/>
      <c r="K41" s="320"/>
      <c r="L41" s="320"/>
      <c r="M41" s="335">
        <f t="shared" si="3"/>
        <v>26.02</v>
      </c>
      <c r="N41" s="320"/>
      <c r="O41" s="292"/>
    </row>
    <row r="42" spans="1:15" ht="16" x14ac:dyDescent="0.2">
      <c r="A42" s="280">
        <v>45823</v>
      </c>
      <c r="B42" s="100" t="s">
        <v>636</v>
      </c>
      <c r="C42" s="100" t="s">
        <v>639</v>
      </c>
      <c r="D42" s="100"/>
      <c r="E42" s="100"/>
      <c r="F42" s="100"/>
      <c r="G42" s="100" t="s">
        <v>13</v>
      </c>
      <c r="H42" s="297"/>
      <c r="I42" s="298">
        <v>73.5</v>
      </c>
      <c r="J42" s="320"/>
      <c r="K42" s="320"/>
      <c r="L42" s="335">
        <f t="shared" ref="L42:L43" si="4">I42</f>
        <v>73.5</v>
      </c>
      <c r="M42" s="320"/>
      <c r="N42" s="320"/>
      <c r="O42" s="292"/>
    </row>
    <row r="43" spans="1:15" ht="16" x14ac:dyDescent="0.2">
      <c r="A43" s="280">
        <v>45823</v>
      </c>
      <c r="B43" s="100" t="s">
        <v>637</v>
      </c>
      <c r="C43" s="100" t="s">
        <v>639</v>
      </c>
      <c r="D43" s="100"/>
      <c r="E43" s="100"/>
      <c r="F43" s="100"/>
      <c r="G43" s="100" t="s">
        <v>13</v>
      </c>
      <c r="H43" s="297"/>
      <c r="I43" s="298">
        <v>294.14</v>
      </c>
      <c r="J43" s="320"/>
      <c r="K43" s="320"/>
      <c r="L43" s="335">
        <f t="shared" si="4"/>
        <v>294.14</v>
      </c>
      <c r="M43" s="320"/>
      <c r="N43" s="320"/>
      <c r="O43" s="292"/>
    </row>
    <row r="44" spans="1:15" ht="16" x14ac:dyDescent="0.2">
      <c r="A44" s="280">
        <v>45823</v>
      </c>
      <c r="B44" s="100" t="s">
        <v>637</v>
      </c>
      <c r="C44" s="100" t="s">
        <v>640</v>
      </c>
      <c r="D44" s="100"/>
      <c r="E44" s="100"/>
      <c r="F44" s="100"/>
      <c r="G44" s="100" t="s">
        <v>19</v>
      </c>
      <c r="H44" s="297"/>
      <c r="I44" s="298">
        <v>1.1299999999999999</v>
      </c>
      <c r="J44" s="320"/>
      <c r="K44" s="320"/>
      <c r="L44" s="320"/>
      <c r="M44" s="335">
        <f>I44</f>
        <v>1.1299999999999999</v>
      </c>
      <c r="N44" s="320"/>
      <c r="O44" s="292"/>
    </row>
    <row r="45" spans="1:15" ht="16" x14ac:dyDescent="0.2">
      <c r="A45" s="280">
        <v>45823</v>
      </c>
      <c r="B45" s="100" t="s">
        <v>638</v>
      </c>
      <c r="C45" s="100" t="s">
        <v>641</v>
      </c>
      <c r="D45" s="100"/>
      <c r="E45" s="100"/>
      <c r="F45" s="100"/>
      <c r="G45" s="100" t="s">
        <v>17</v>
      </c>
      <c r="H45" s="297"/>
      <c r="I45" s="298">
        <v>31.5</v>
      </c>
      <c r="J45" s="320"/>
      <c r="K45" s="320"/>
      <c r="L45" s="335">
        <f t="shared" ref="L45:L46" si="5">I45</f>
        <v>31.5</v>
      </c>
      <c r="M45" s="320"/>
      <c r="N45" s="320"/>
      <c r="O45" s="292"/>
    </row>
    <row r="46" spans="1:15" ht="16" x14ac:dyDescent="0.2">
      <c r="A46" s="280">
        <v>45823</v>
      </c>
      <c r="B46" s="100" t="s">
        <v>637</v>
      </c>
      <c r="C46" s="100" t="s">
        <v>641</v>
      </c>
      <c r="D46" s="100"/>
      <c r="E46" s="100"/>
      <c r="F46" s="100"/>
      <c r="G46" s="100" t="s">
        <v>17</v>
      </c>
      <c r="H46" s="297"/>
      <c r="I46" s="298">
        <v>126.06</v>
      </c>
      <c r="J46" s="320"/>
      <c r="K46" s="320"/>
      <c r="L46" s="335">
        <f t="shared" si="5"/>
        <v>126.06</v>
      </c>
      <c r="M46" s="320"/>
      <c r="N46" s="320"/>
      <c r="O46" s="292"/>
    </row>
    <row r="47" spans="1:15" ht="16" x14ac:dyDescent="0.2">
      <c r="A47" s="280">
        <v>45825</v>
      </c>
      <c r="B47" s="100" t="s">
        <v>577</v>
      </c>
      <c r="C47" s="100" t="s">
        <v>642</v>
      </c>
      <c r="D47" s="100">
        <v>16540</v>
      </c>
      <c r="E47" s="100" t="s">
        <v>106</v>
      </c>
      <c r="F47" s="100" t="s">
        <v>831</v>
      </c>
      <c r="G47" s="100" t="s">
        <v>50</v>
      </c>
      <c r="H47" s="297"/>
      <c r="I47" s="298">
        <v>597.11</v>
      </c>
      <c r="J47" s="320"/>
      <c r="K47" s="320"/>
      <c r="L47" s="320"/>
      <c r="M47" s="335">
        <f t="shared" ref="M47:M53" si="6">I47</f>
        <v>597.11</v>
      </c>
      <c r="N47" s="320"/>
      <c r="O47" s="292"/>
    </row>
    <row r="48" spans="1:15" ht="16" x14ac:dyDescent="0.2">
      <c r="A48" s="280">
        <v>45825</v>
      </c>
      <c r="B48" s="100" t="s">
        <v>95</v>
      </c>
      <c r="C48" s="100" t="s">
        <v>643</v>
      </c>
      <c r="D48" s="100">
        <v>1048335</v>
      </c>
      <c r="E48" s="100" t="s">
        <v>106</v>
      </c>
      <c r="F48" s="100" t="s">
        <v>831</v>
      </c>
      <c r="G48" s="100" t="s">
        <v>19</v>
      </c>
      <c r="H48" s="297"/>
      <c r="I48" s="298">
        <v>7.99</v>
      </c>
      <c r="J48" s="320"/>
      <c r="K48" s="320"/>
      <c r="L48" s="320"/>
      <c r="M48" s="335">
        <f t="shared" si="6"/>
        <v>7.99</v>
      </c>
      <c r="N48" s="320"/>
      <c r="O48" s="292"/>
    </row>
    <row r="49" spans="1:15" ht="16" x14ac:dyDescent="0.2">
      <c r="A49" s="280">
        <v>45825</v>
      </c>
      <c r="B49" s="100" t="s">
        <v>644</v>
      </c>
      <c r="C49" s="100" t="s">
        <v>645</v>
      </c>
      <c r="D49" s="100">
        <v>242</v>
      </c>
      <c r="E49" s="100" t="s">
        <v>106</v>
      </c>
      <c r="F49" s="100"/>
      <c r="G49" s="100" t="s">
        <v>148</v>
      </c>
      <c r="H49" s="297"/>
      <c r="I49" s="298">
        <v>1080</v>
      </c>
      <c r="J49" s="320"/>
      <c r="K49" s="320"/>
      <c r="L49" s="320"/>
      <c r="M49" s="335">
        <f t="shared" si="6"/>
        <v>1080</v>
      </c>
      <c r="N49" s="320"/>
      <c r="O49" s="292"/>
    </row>
    <row r="50" spans="1:15" ht="16" x14ac:dyDescent="0.2">
      <c r="A50" s="280">
        <v>45825</v>
      </c>
      <c r="B50" s="100" t="s">
        <v>255</v>
      </c>
      <c r="C50" s="100" t="s">
        <v>646</v>
      </c>
      <c r="D50" s="100" t="s">
        <v>249</v>
      </c>
      <c r="E50" s="100" t="s">
        <v>106</v>
      </c>
      <c r="F50" s="100"/>
      <c r="G50" s="100" t="s">
        <v>61</v>
      </c>
      <c r="H50" s="297"/>
      <c r="I50" s="298">
        <v>30.97</v>
      </c>
      <c r="J50" s="320"/>
      <c r="K50" s="320"/>
      <c r="L50" s="320"/>
      <c r="M50" s="335">
        <f t="shared" si="6"/>
        <v>30.97</v>
      </c>
      <c r="N50" s="320"/>
      <c r="O50" s="292"/>
    </row>
    <row r="51" spans="1:15" ht="32" x14ac:dyDescent="0.2">
      <c r="A51" s="280">
        <v>45825</v>
      </c>
      <c r="B51" s="100" t="s">
        <v>650</v>
      </c>
      <c r="C51" s="100" t="s">
        <v>648</v>
      </c>
      <c r="D51" s="100" t="s">
        <v>649</v>
      </c>
      <c r="E51" s="100" t="s">
        <v>106</v>
      </c>
      <c r="F51" s="100"/>
      <c r="G51" s="100" t="s">
        <v>156</v>
      </c>
      <c r="H51" s="297"/>
      <c r="I51" s="298">
        <v>120</v>
      </c>
      <c r="J51" s="320"/>
      <c r="K51" s="320"/>
      <c r="L51" s="320"/>
      <c r="M51" s="335">
        <f t="shared" si="6"/>
        <v>120</v>
      </c>
      <c r="N51" s="320"/>
      <c r="O51" s="292"/>
    </row>
    <row r="52" spans="1:15" ht="16" x14ac:dyDescent="0.2">
      <c r="A52" s="280">
        <v>45825</v>
      </c>
      <c r="B52" s="100" t="s">
        <v>545</v>
      </c>
      <c r="C52" s="100" t="s">
        <v>611</v>
      </c>
      <c r="D52" s="100">
        <v>457144544</v>
      </c>
      <c r="E52" s="100" t="s">
        <v>106</v>
      </c>
      <c r="F52" s="100"/>
      <c r="G52" s="100" t="s">
        <v>27</v>
      </c>
      <c r="H52" s="297"/>
      <c r="I52" s="298">
        <v>4.25</v>
      </c>
      <c r="J52" s="320"/>
      <c r="K52" s="320"/>
      <c r="L52" s="320"/>
      <c r="M52" s="335">
        <f t="shared" si="6"/>
        <v>4.25</v>
      </c>
      <c r="N52" s="320"/>
      <c r="O52" s="292"/>
    </row>
    <row r="53" spans="1:15" ht="16" x14ac:dyDescent="0.2">
      <c r="A53" s="280">
        <v>45825</v>
      </c>
      <c r="B53" s="100" t="s">
        <v>651</v>
      </c>
      <c r="C53" s="100" t="s">
        <v>652</v>
      </c>
      <c r="D53" s="100">
        <v>6966</v>
      </c>
      <c r="E53" s="100" t="s">
        <v>106</v>
      </c>
      <c r="F53" s="100" t="s">
        <v>831</v>
      </c>
      <c r="G53" s="100" t="s">
        <v>148</v>
      </c>
      <c r="H53" s="297"/>
      <c r="I53" s="298">
        <v>399</v>
      </c>
      <c r="J53" s="320"/>
      <c r="K53" s="320"/>
      <c r="L53" s="320"/>
      <c r="M53" s="335">
        <f t="shared" si="6"/>
        <v>399</v>
      </c>
      <c r="N53" s="320"/>
      <c r="O53" s="292"/>
    </row>
    <row r="54" spans="1:15" ht="16" x14ac:dyDescent="0.2">
      <c r="A54" s="280">
        <v>45853</v>
      </c>
      <c r="B54" s="100" t="s">
        <v>654</v>
      </c>
      <c r="C54" s="100" t="s">
        <v>657</v>
      </c>
      <c r="D54" s="100"/>
      <c r="E54" s="100"/>
      <c r="F54" s="100"/>
      <c r="G54" s="100" t="s">
        <v>13</v>
      </c>
      <c r="H54" s="297"/>
      <c r="I54" s="298">
        <v>73.5</v>
      </c>
      <c r="J54" s="320"/>
      <c r="K54" s="320"/>
      <c r="L54" s="335">
        <f t="shared" ref="L54:L55" si="7">I54</f>
        <v>73.5</v>
      </c>
      <c r="M54" s="320"/>
      <c r="N54" s="320"/>
      <c r="O54" s="292"/>
    </row>
    <row r="55" spans="1:15" ht="16" x14ac:dyDescent="0.2">
      <c r="A55" s="280">
        <v>45853</v>
      </c>
      <c r="B55" s="100" t="s">
        <v>655</v>
      </c>
      <c r="C55" s="100" t="s">
        <v>657</v>
      </c>
      <c r="D55" s="100"/>
      <c r="E55" s="100"/>
      <c r="F55" s="100"/>
      <c r="G55" s="100" t="s">
        <v>13</v>
      </c>
      <c r="H55" s="297"/>
      <c r="I55" s="298">
        <v>294.14</v>
      </c>
      <c r="J55" s="320"/>
      <c r="K55" s="320"/>
      <c r="L55" s="335">
        <f t="shared" si="7"/>
        <v>294.14</v>
      </c>
      <c r="M55" s="320"/>
      <c r="N55" s="320"/>
      <c r="O55" s="292"/>
    </row>
    <row r="56" spans="1:15" ht="16" x14ac:dyDescent="0.2">
      <c r="A56" s="280">
        <v>45853</v>
      </c>
      <c r="B56" s="100" t="s">
        <v>655</v>
      </c>
      <c r="C56" s="100" t="s">
        <v>658</v>
      </c>
      <c r="D56" s="100"/>
      <c r="E56" s="100"/>
      <c r="F56" s="100"/>
      <c r="G56" s="100" t="s">
        <v>19</v>
      </c>
      <c r="H56" s="297"/>
      <c r="I56" s="298">
        <v>2.25</v>
      </c>
      <c r="J56" s="320"/>
      <c r="K56" s="320"/>
      <c r="L56" s="320"/>
      <c r="M56" s="335">
        <f>I56</f>
        <v>2.25</v>
      </c>
      <c r="N56" s="320"/>
      <c r="O56" s="292"/>
    </row>
    <row r="57" spans="1:15" ht="16" x14ac:dyDescent="0.2">
      <c r="A57" s="280">
        <v>45853</v>
      </c>
      <c r="B57" s="100" t="s">
        <v>656</v>
      </c>
      <c r="C57" s="100" t="s">
        <v>659</v>
      </c>
      <c r="D57" s="100"/>
      <c r="E57" s="100"/>
      <c r="F57" s="100"/>
      <c r="G57" s="100" t="s">
        <v>17</v>
      </c>
      <c r="H57" s="297"/>
      <c r="I57" s="298">
        <v>31.5</v>
      </c>
      <c r="J57" s="320"/>
      <c r="K57" s="320"/>
      <c r="L57" s="335">
        <f t="shared" ref="L57:L58" si="8">I57</f>
        <v>31.5</v>
      </c>
      <c r="M57" s="320"/>
      <c r="N57" s="320"/>
      <c r="O57" s="292"/>
    </row>
    <row r="58" spans="1:15" ht="16" x14ac:dyDescent="0.2">
      <c r="A58" s="280">
        <v>45853</v>
      </c>
      <c r="B58" s="100" t="s">
        <v>655</v>
      </c>
      <c r="C58" s="100" t="s">
        <v>659</v>
      </c>
      <c r="D58" s="100"/>
      <c r="E58" s="100"/>
      <c r="F58" s="100"/>
      <c r="G58" s="100" t="s">
        <v>17</v>
      </c>
      <c r="H58" s="297"/>
      <c r="I58" s="298">
        <v>126.06</v>
      </c>
      <c r="J58" s="320"/>
      <c r="K58" s="320"/>
      <c r="L58" s="335">
        <f t="shared" si="8"/>
        <v>126.06</v>
      </c>
      <c r="M58" s="320"/>
      <c r="N58" s="320"/>
      <c r="O58" s="292"/>
    </row>
    <row r="59" spans="1:15" ht="16" x14ac:dyDescent="0.2">
      <c r="A59" s="280">
        <v>45852</v>
      </c>
      <c r="B59" s="100" t="s">
        <v>577</v>
      </c>
      <c r="C59" s="100" t="s">
        <v>660</v>
      </c>
      <c r="D59" s="100">
        <v>16595</v>
      </c>
      <c r="E59" s="100" t="s">
        <v>106</v>
      </c>
      <c r="F59" s="100" t="s">
        <v>831</v>
      </c>
      <c r="G59" s="100" t="s">
        <v>50</v>
      </c>
      <c r="H59" s="297"/>
      <c r="I59" s="298">
        <v>1194.25</v>
      </c>
      <c r="J59" s="320"/>
      <c r="K59" s="320"/>
      <c r="L59" s="320"/>
      <c r="M59" s="335">
        <f t="shared" ref="M59:M64" si="9">I59</f>
        <v>1194.25</v>
      </c>
      <c r="N59" s="320"/>
      <c r="O59" s="292"/>
    </row>
    <row r="60" spans="1:15" ht="16" x14ac:dyDescent="0.2">
      <c r="A60" s="280">
        <v>45852</v>
      </c>
      <c r="B60" s="100" t="s">
        <v>661</v>
      </c>
      <c r="C60" s="100" t="s">
        <v>662</v>
      </c>
      <c r="D60" s="100">
        <v>1287417</v>
      </c>
      <c r="E60" s="100" t="s">
        <v>106</v>
      </c>
      <c r="F60" s="100" t="s">
        <v>831</v>
      </c>
      <c r="G60" s="100" t="s">
        <v>61</v>
      </c>
      <c r="H60" s="297"/>
      <c r="I60" s="298">
        <v>75.180000000000007</v>
      </c>
      <c r="J60" s="320"/>
      <c r="K60" s="320"/>
      <c r="L60" s="320"/>
      <c r="M60" s="335">
        <f t="shared" si="9"/>
        <v>75.180000000000007</v>
      </c>
      <c r="N60" s="320"/>
      <c r="O60" s="292"/>
    </row>
    <row r="61" spans="1:15" ht="16" x14ac:dyDescent="0.2">
      <c r="A61" s="280">
        <v>45859</v>
      </c>
      <c r="B61" s="100" t="s">
        <v>545</v>
      </c>
      <c r="C61" s="100" t="s">
        <v>611</v>
      </c>
      <c r="D61" s="100">
        <v>459616451</v>
      </c>
      <c r="E61" s="100" t="s">
        <v>106</v>
      </c>
      <c r="F61" s="100"/>
      <c r="G61" s="100" t="s">
        <v>27</v>
      </c>
      <c r="H61" s="297"/>
      <c r="I61" s="298">
        <v>4.25</v>
      </c>
      <c r="J61" s="320"/>
      <c r="K61" s="320"/>
      <c r="L61" s="320"/>
      <c r="M61" s="335">
        <f t="shared" si="9"/>
        <v>4.25</v>
      </c>
      <c r="N61" s="320"/>
      <c r="O61" s="292"/>
    </row>
    <row r="62" spans="1:15" ht="16" x14ac:dyDescent="0.2">
      <c r="A62" s="280">
        <v>45861</v>
      </c>
      <c r="B62" s="100" t="s">
        <v>96</v>
      </c>
      <c r="C62" s="100" t="s">
        <v>663</v>
      </c>
      <c r="D62" s="100">
        <v>8357291</v>
      </c>
      <c r="E62" s="100" t="s">
        <v>106</v>
      </c>
      <c r="F62" s="100"/>
      <c r="G62" s="100" t="s">
        <v>48</v>
      </c>
      <c r="H62" s="297"/>
      <c r="I62" s="298">
        <v>527.22</v>
      </c>
      <c r="J62" s="320"/>
      <c r="K62" s="320"/>
      <c r="L62" s="320"/>
      <c r="M62" s="335">
        <f t="shared" si="9"/>
        <v>527.22</v>
      </c>
      <c r="N62" s="320"/>
      <c r="O62" s="292"/>
    </row>
    <row r="63" spans="1:15" ht="16" x14ac:dyDescent="0.2">
      <c r="A63" s="280">
        <v>45862</v>
      </c>
      <c r="B63" s="100" t="s">
        <v>664</v>
      </c>
      <c r="C63" s="100" t="s">
        <v>665</v>
      </c>
      <c r="D63" s="100" t="s">
        <v>666</v>
      </c>
      <c r="E63" s="100" t="s">
        <v>106</v>
      </c>
      <c r="F63" s="100" t="s">
        <v>831</v>
      </c>
      <c r="G63" s="100" t="s">
        <v>25</v>
      </c>
      <c r="H63" s="297"/>
      <c r="I63" s="298">
        <v>252</v>
      </c>
      <c r="J63" s="320"/>
      <c r="K63" s="320"/>
      <c r="L63" s="320"/>
      <c r="M63" s="335">
        <f t="shared" si="9"/>
        <v>252</v>
      </c>
      <c r="N63" s="320"/>
      <c r="O63" s="292"/>
    </row>
    <row r="64" spans="1:15" ht="16" x14ac:dyDescent="0.2">
      <c r="A64" s="280">
        <v>45862</v>
      </c>
      <c r="B64" s="100" t="s">
        <v>667</v>
      </c>
      <c r="C64" s="100" t="s">
        <v>668</v>
      </c>
      <c r="D64" s="100">
        <v>56877</v>
      </c>
      <c r="E64" s="100" t="s">
        <v>106</v>
      </c>
      <c r="F64" s="100" t="s">
        <v>831</v>
      </c>
      <c r="G64" s="100" t="s">
        <v>48</v>
      </c>
      <c r="H64" s="297"/>
      <c r="I64" s="298">
        <v>139.24</v>
      </c>
      <c r="J64" s="320"/>
      <c r="K64" s="320"/>
      <c r="L64" s="320"/>
      <c r="M64" s="335">
        <f t="shared" si="9"/>
        <v>139.24</v>
      </c>
      <c r="N64" s="320"/>
      <c r="O64" s="292"/>
    </row>
    <row r="65" spans="1:15" ht="16" x14ac:dyDescent="0.2">
      <c r="A65" s="280">
        <v>45870</v>
      </c>
      <c r="B65" s="100" t="s">
        <v>693</v>
      </c>
      <c r="C65" s="100" t="s">
        <v>669</v>
      </c>
      <c r="D65" s="100"/>
      <c r="E65" s="100"/>
      <c r="F65" s="100"/>
      <c r="G65" s="100" t="s">
        <v>13</v>
      </c>
      <c r="H65" s="297"/>
      <c r="I65" s="298">
        <v>73.5</v>
      </c>
      <c r="J65" s="320"/>
      <c r="K65" s="320"/>
      <c r="L65" s="335">
        <f t="shared" ref="L65:L66" si="10">I65</f>
        <v>73.5</v>
      </c>
      <c r="M65" s="320"/>
      <c r="N65" s="320"/>
      <c r="O65" s="292"/>
    </row>
    <row r="66" spans="1:15" ht="16" x14ac:dyDescent="0.2">
      <c r="A66" s="280">
        <v>45870</v>
      </c>
      <c r="B66" s="100" t="s">
        <v>694</v>
      </c>
      <c r="C66" s="100" t="s">
        <v>669</v>
      </c>
      <c r="D66" s="100"/>
      <c r="E66" s="100"/>
      <c r="F66" s="100"/>
      <c r="G66" s="100" t="s">
        <v>13</v>
      </c>
      <c r="H66" s="297"/>
      <c r="I66" s="298">
        <v>294.14</v>
      </c>
      <c r="J66" s="320"/>
      <c r="K66" s="320"/>
      <c r="L66" s="335">
        <f t="shared" si="10"/>
        <v>294.14</v>
      </c>
      <c r="M66" s="320"/>
      <c r="N66" s="320"/>
      <c r="O66" s="292"/>
    </row>
    <row r="67" spans="1:15" ht="16" x14ac:dyDescent="0.2">
      <c r="A67" s="280">
        <v>45870</v>
      </c>
      <c r="B67" s="100" t="s">
        <v>694</v>
      </c>
      <c r="C67" s="100" t="s">
        <v>670</v>
      </c>
      <c r="D67" s="100"/>
      <c r="E67" s="100"/>
      <c r="F67" s="100"/>
      <c r="G67" s="100" t="s">
        <v>19</v>
      </c>
      <c r="H67" s="297"/>
      <c r="I67" s="298">
        <v>2.25</v>
      </c>
      <c r="J67" s="320"/>
      <c r="K67" s="320"/>
      <c r="L67" s="320"/>
      <c r="M67" s="335">
        <f>I67</f>
        <v>2.25</v>
      </c>
      <c r="N67" s="320"/>
      <c r="O67" s="292"/>
    </row>
    <row r="68" spans="1:15" ht="16" x14ac:dyDescent="0.2">
      <c r="A68" s="280">
        <v>45870</v>
      </c>
      <c r="B68" s="100" t="s">
        <v>695</v>
      </c>
      <c r="C68" s="100" t="s">
        <v>671</v>
      </c>
      <c r="D68" s="100"/>
      <c r="E68" s="100"/>
      <c r="F68" s="100"/>
      <c r="G68" s="100" t="s">
        <v>17</v>
      </c>
      <c r="H68" s="297"/>
      <c r="I68" s="298">
        <v>31.5</v>
      </c>
      <c r="J68" s="320"/>
      <c r="K68" s="320"/>
      <c r="L68" s="335">
        <f t="shared" ref="L68:L69" si="11">I68</f>
        <v>31.5</v>
      </c>
      <c r="M68" s="320"/>
      <c r="N68" s="320"/>
      <c r="O68" s="292"/>
    </row>
    <row r="69" spans="1:15" ht="16" x14ac:dyDescent="0.2">
      <c r="A69" s="280">
        <v>45870</v>
      </c>
      <c r="B69" s="100" t="s">
        <v>694</v>
      </c>
      <c r="C69" s="100" t="s">
        <v>671</v>
      </c>
      <c r="D69" s="100"/>
      <c r="E69" s="100"/>
      <c r="F69" s="100"/>
      <c r="G69" s="100" t="s">
        <v>17</v>
      </c>
      <c r="H69" s="297"/>
      <c r="I69" s="298">
        <v>126.06</v>
      </c>
      <c r="J69" s="320"/>
      <c r="K69" s="320"/>
      <c r="L69" s="335">
        <f t="shared" si="11"/>
        <v>126.06</v>
      </c>
      <c r="M69" s="320"/>
      <c r="N69" s="320"/>
      <c r="O69" s="292"/>
    </row>
    <row r="70" spans="1:15" ht="32" x14ac:dyDescent="0.2">
      <c r="A70" s="280">
        <v>45870</v>
      </c>
      <c r="B70" s="100" t="s">
        <v>95</v>
      </c>
      <c r="C70" s="100" t="s">
        <v>672</v>
      </c>
      <c r="D70" s="100" t="s">
        <v>674</v>
      </c>
      <c r="E70" s="100" t="s">
        <v>106</v>
      </c>
      <c r="F70" s="100" t="s">
        <v>831</v>
      </c>
      <c r="G70" s="100" t="s">
        <v>61</v>
      </c>
      <c r="H70" s="297"/>
      <c r="I70" s="298">
        <v>19.489999999999998</v>
      </c>
      <c r="J70" s="320"/>
      <c r="K70" s="320"/>
      <c r="L70" s="320"/>
      <c r="M70" s="335">
        <f t="shared" ref="M70:M75" si="12">I70</f>
        <v>19.489999999999998</v>
      </c>
      <c r="N70" s="320"/>
      <c r="O70" s="292"/>
    </row>
    <row r="71" spans="1:15" ht="32" x14ac:dyDescent="0.2">
      <c r="A71" s="280">
        <v>45870</v>
      </c>
      <c r="B71" s="100" t="s">
        <v>95</v>
      </c>
      <c r="C71" s="100" t="s">
        <v>673</v>
      </c>
      <c r="D71" s="100" t="s">
        <v>675</v>
      </c>
      <c r="E71" s="100" t="s">
        <v>106</v>
      </c>
      <c r="F71" s="100" t="s">
        <v>831</v>
      </c>
      <c r="G71" s="100" t="s">
        <v>61</v>
      </c>
      <c r="H71" s="297"/>
      <c r="I71" s="298">
        <v>18.36</v>
      </c>
      <c r="J71" s="320"/>
      <c r="K71" s="320"/>
      <c r="L71" s="320"/>
      <c r="M71" s="335">
        <f t="shared" si="12"/>
        <v>18.36</v>
      </c>
      <c r="N71" s="320"/>
      <c r="O71" s="292"/>
    </row>
    <row r="72" spans="1:15" ht="16" x14ac:dyDescent="0.2">
      <c r="A72" s="280">
        <v>45870</v>
      </c>
      <c r="B72" s="100" t="s">
        <v>580</v>
      </c>
      <c r="C72" s="100" t="s">
        <v>676</v>
      </c>
      <c r="D72" s="100" t="s">
        <v>677</v>
      </c>
      <c r="E72" s="100" t="s">
        <v>106</v>
      </c>
      <c r="F72" s="100" t="s">
        <v>831</v>
      </c>
      <c r="G72" s="100" t="s">
        <v>98</v>
      </c>
      <c r="H72" s="297"/>
      <c r="I72" s="298">
        <v>356.1</v>
      </c>
      <c r="J72" s="320"/>
      <c r="K72" s="320"/>
      <c r="L72" s="320"/>
      <c r="M72" s="335">
        <f t="shared" si="12"/>
        <v>356.1</v>
      </c>
      <c r="N72" s="320"/>
      <c r="O72" s="292"/>
    </row>
    <row r="73" spans="1:15" ht="16" x14ac:dyDescent="0.2">
      <c r="A73" s="280">
        <v>45873</v>
      </c>
      <c r="B73" s="100" t="s">
        <v>678</v>
      </c>
      <c r="C73" s="100" t="s">
        <v>679</v>
      </c>
      <c r="D73" s="100">
        <v>4650</v>
      </c>
      <c r="E73" s="100" t="s">
        <v>106</v>
      </c>
      <c r="F73" s="100" t="s">
        <v>831</v>
      </c>
      <c r="G73" s="100" t="s">
        <v>61</v>
      </c>
      <c r="H73" s="297"/>
      <c r="I73" s="298">
        <v>90</v>
      </c>
      <c r="J73" s="320"/>
      <c r="K73" s="320"/>
      <c r="L73" s="320"/>
      <c r="M73" s="335">
        <f t="shared" si="12"/>
        <v>90</v>
      </c>
      <c r="N73" s="320"/>
      <c r="O73" s="292"/>
    </row>
    <row r="74" spans="1:15" ht="32" x14ac:dyDescent="0.2">
      <c r="A74" s="280">
        <v>45875</v>
      </c>
      <c r="B74" s="100" t="s">
        <v>680</v>
      </c>
      <c r="C74" s="100" t="s">
        <v>681</v>
      </c>
      <c r="D74" s="100">
        <v>33806</v>
      </c>
      <c r="E74" s="100" t="s">
        <v>106</v>
      </c>
      <c r="F74" s="100" t="s">
        <v>831</v>
      </c>
      <c r="G74" s="100" t="s">
        <v>38</v>
      </c>
      <c r="H74" s="297"/>
      <c r="I74" s="298">
        <v>240</v>
      </c>
      <c r="J74" s="320"/>
      <c r="K74" s="320"/>
      <c r="L74" s="320"/>
      <c r="M74" s="335">
        <f t="shared" si="12"/>
        <v>240</v>
      </c>
      <c r="N74" s="320"/>
      <c r="O74" s="292"/>
    </row>
    <row r="75" spans="1:15" ht="16" x14ac:dyDescent="0.2">
      <c r="A75" s="280">
        <v>45888</v>
      </c>
      <c r="B75" s="100" t="s">
        <v>545</v>
      </c>
      <c r="C75" s="100" t="s">
        <v>611</v>
      </c>
      <c r="D75" s="100">
        <v>461903908</v>
      </c>
      <c r="E75" s="100" t="s">
        <v>106</v>
      </c>
      <c r="F75" s="100"/>
      <c r="G75" s="100" t="s">
        <v>27</v>
      </c>
      <c r="H75" s="297"/>
      <c r="I75" s="298">
        <v>4.25</v>
      </c>
      <c r="J75" s="320"/>
      <c r="K75" s="320"/>
      <c r="L75" s="320"/>
      <c r="M75" s="335">
        <f t="shared" si="12"/>
        <v>4.25</v>
      </c>
      <c r="N75" s="320"/>
      <c r="O75" s="292"/>
    </row>
    <row r="76" spans="1:15" ht="16" x14ac:dyDescent="0.2">
      <c r="A76" s="280">
        <v>45912</v>
      </c>
      <c r="B76" s="100" t="s">
        <v>119</v>
      </c>
      <c r="C76" s="100" t="s">
        <v>692</v>
      </c>
      <c r="D76" s="100" t="s">
        <v>239</v>
      </c>
      <c r="E76" s="100" t="s">
        <v>106</v>
      </c>
      <c r="F76" s="100"/>
      <c r="G76" s="100" t="s">
        <v>4</v>
      </c>
      <c r="H76" s="297">
        <v>13250</v>
      </c>
      <c r="I76" s="298"/>
      <c r="J76" s="335">
        <f>H76</f>
        <v>13250</v>
      </c>
      <c r="K76" s="335"/>
      <c r="L76" s="320"/>
      <c r="M76" s="320"/>
      <c r="N76" s="320"/>
      <c r="O76" s="292"/>
    </row>
    <row r="77" spans="1:15" ht="16" x14ac:dyDescent="0.2">
      <c r="A77" s="280">
        <v>45915</v>
      </c>
      <c r="B77" s="100" t="s">
        <v>696</v>
      </c>
      <c r="C77" s="100" t="s">
        <v>698</v>
      </c>
      <c r="D77" s="100"/>
      <c r="E77" s="100"/>
      <c r="F77" s="100"/>
      <c r="G77" s="100" t="s">
        <v>13</v>
      </c>
      <c r="H77" s="297"/>
      <c r="I77" s="298">
        <v>73.64</v>
      </c>
      <c r="J77" s="320"/>
      <c r="K77" s="320"/>
      <c r="L77" s="335">
        <f t="shared" ref="L77:L78" si="13">I77</f>
        <v>73.64</v>
      </c>
      <c r="M77" s="320"/>
      <c r="N77" s="320"/>
      <c r="O77" s="292"/>
    </row>
    <row r="78" spans="1:15" ht="16" x14ac:dyDescent="0.2">
      <c r="A78" s="280">
        <v>45915</v>
      </c>
      <c r="B78" s="100" t="s">
        <v>697</v>
      </c>
      <c r="C78" s="100" t="s">
        <v>699</v>
      </c>
      <c r="D78" s="100"/>
      <c r="E78" s="100"/>
      <c r="F78" s="100"/>
      <c r="G78" s="100" t="s">
        <v>13</v>
      </c>
      <c r="H78" s="297"/>
      <c r="I78" s="298">
        <v>294</v>
      </c>
      <c r="J78" s="320"/>
      <c r="K78" s="320"/>
      <c r="L78" s="335">
        <f t="shared" si="13"/>
        <v>294</v>
      </c>
      <c r="M78" s="320"/>
      <c r="N78" s="320"/>
      <c r="O78" s="292"/>
    </row>
    <row r="79" spans="1:15" ht="16" x14ac:dyDescent="0.2">
      <c r="A79" s="280">
        <v>45915</v>
      </c>
      <c r="B79" s="100" t="s">
        <v>697</v>
      </c>
      <c r="C79" s="100" t="s">
        <v>700</v>
      </c>
      <c r="D79" s="100"/>
      <c r="E79" s="100"/>
      <c r="F79" s="100"/>
      <c r="G79" s="100" t="s">
        <v>19</v>
      </c>
      <c r="H79" s="297"/>
      <c r="I79" s="298">
        <v>0</v>
      </c>
      <c r="J79" s="320"/>
      <c r="K79" s="320"/>
      <c r="L79" s="320"/>
      <c r="M79" s="335">
        <f>I79</f>
        <v>0</v>
      </c>
      <c r="N79" s="320"/>
      <c r="O79" s="292"/>
    </row>
    <row r="80" spans="1:15" ht="16" x14ac:dyDescent="0.2">
      <c r="A80" s="280">
        <v>45915</v>
      </c>
      <c r="B80" s="100" t="s">
        <v>696</v>
      </c>
      <c r="C80" s="100" t="s">
        <v>701</v>
      </c>
      <c r="D80" s="100"/>
      <c r="E80" s="100"/>
      <c r="F80" s="100"/>
      <c r="G80" s="100" t="s">
        <v>17</v>
      </c>
      <c r="H80" s="297"/>
      <c r="I80" s="298">
        <v>31.56</v>
      </c>
      <c r="J80" s="320"/>
      <c r="K80" s="320"/>
      <c r="L80" s="335">
        <f t="shared" ref="L80:L81" si="14">I80</f>
        <v>31.56</v>
      </c>
      <c r="M80" s="320"/>
      <c r="N80" s="320"/>
      <c r="O80" s="292"/>
    </row>
    <row r="81" spans="1:15" ht="16" x14ac:dyDescent="0.2">
      <c r="A81" s="280">
        <v>45915</v>
      </c>
      <c r="B81" s="100" t="s">
        <v>697</v>
      </c>
      <c r="C81" s="100" t="s">
        <v>701</v>
      </c>
      <c r="D81" s="100"/>
      <c r="E81" s="100"/>
      <c r="F81" s="100"/>
      <c r="G81" s="100" t="s">
        <v>17</v>
      </c>
      <c r="H81" s="297"/>
      <c r="I81" s="298">
        <v>126</v>
      </c>
      <c r="J81" s="320"/>
      <c r="K81" s="320"/>
      <c r="L81" s="335">
        <f t="shared" si="14"/>
        <v>126</v>
      </c>
      <c r="M81" s="320"/>
      <c r="N81" s="320"/>
      <c r="O81" s="292"/>
    </row>
    <row r="82" spans="1:15" ht="16" x14ac:dyDescent="0.2">
      <c r="A82" s="280">
        <v>45915</v>
      </c>
      <c r="B82" s="100" t="s">
        <v>95</v>
      </c>
      <c r="C82" s="100" t="s">
        <v>702</v>
      </c>
      <c r="D82" s="100" t="s">
        <v>249</v>
      </c>
      <c r="E82" s="100" t="s">
        <v>106</v>
      </c>
      <c r="F82" s="100"/>
      <c r="G82" s="100" t="s">
        <v>98</v>
      </c>
      <c r="H82" s="297"/>
      <c r="I82" s="298">
        <v>95.75</v>
      </c>
      <c r="J82" s="320"/>
      <c r="K82" s="320"/>
      <c r="L82" s="320"/>
      <c r="M82" s="335">
        <f t="shared" ref="M82:M90" si="15">I82</f>
        <v>95.75</v>
      </c>
      <c r="N82" s="320"/>
      <c r="O82" s="292"/>
    </row>
    <row r="83" spans="1:15" ht="16" x14ac:dyDescent="0.2">
      <c r="A83" s="280">
        <v>45915</v>
      </c>
      <c r="B83" s="100" t="s">
        <v>95</v>
      </c>
      <c r="C83" s="100" t="s">
        <v>703</v>
      </c>
      <c r="D83" s="100" t="s">
        <v>249</v>
      </c>
      <c r="E83" s="100" t="s">
        <v>106</v>
      </c>
      <c r="F83" s="100" t="s">
        <v>831</v>
      </c>
      <c r="G83" s="100" t="s">
        <v>98</v>
      </c>
      <c r="H83" s="297"/>
      <c r="I83" s="298">
        <v>8.9700000000000006</v>
      </c>
      <c r="J83" s="320"/>
      <c r="K83" s="320"/>
      <c r="L83" s="320"/>
      <c r="M83" s="335">
        <f t="shared" si="15"/>
        <v>8.9700000000000006</v>
      </c>
      <c r="N83" s="320"/>
      <c r="O83" s="292"/>
    </row>
    <row r="84" spans="1:15" ht="32" x14ac:dyDescent="0.2">
      <c r="A84" s="280">
        <v>45915</v>
      </c>
      <c r="B84" s="100" t="s">
        <v>95</v>
      </c>
      <c r="C84" s="100" t="s">
        <v>704</v>
      </c>
      <c r="D84" s="100" t="s">
        <v>809</v>
      </c>
      <c r="E84" s="100" t="s">
        <v>106</v>
      </c>
      <c r="F84" s="100" t="s">
        <v>831</v>
      </c>
      <c r="G84" s="100" t="s">
        <v>19</v>
      </c>
      <c r="H84" s="297"/>
      <c r="I84" s="298">
        <v>72.180000000000007</v>
      </c>
      <c r="J84" s="320"/>
      <c r="K84" s="320"/>
      <c r="L84" s="320"/>
      <c r="M84" s="335">
        <f t="shared" si="15"/>
        <v>72.180000000000007</v>
      </c>
      <c r="N84" s="320"/>
      <c r="O84" s="292"/>
    </row>
    <row r="85" spans="1:15" ht="32" x14ac:dyDescent="0.2">
      <c r="A85" s="280">
        <v>45915</v>
      </c>
      <c r="B85" s="100" t="s">
        <v>95</v>
      </c>
      <c r="C85" s="100" t="s">
        <v>705</v>
      </c>
      <c r="D85" s="100" t="s">
        <v>810</v>
      </c>
      <c r="E85" s="100" t="s">
        <v>106</v>
      </c>
      <c r="F85" s="100" t="s">
        <v>831</v>
      </c>
      <c r="G85" s="100" t="s">
        <v>98</v>
      </c>
      <c r="H85" s="297"/>
      <c r="I85" s="298">
        <v>4.49</v>
      </c>
      <c r="J85" s="320"/>
      <c r="K85" s="320"/>
      <c r="L85" s="320"/>
      <c r="M85" s="335">
        <f t="shared" si="15"/>
        <v>4.49</v>
      </c>
      <c r="N85" s="320"/>
      <c r="O85" s="292"/>
    </row>
    <row r="86" spans="1:15" ht="16" x14ac:dyDescent="0.2">
      <c r="A86" s="280">
        <v>45915</v>
      </c>
      <c r="B86" s="100" t="s">
        <v>485</v>
      </c>
      <c r="C86" s="100" t="s">
        <v>706</v>
      </c>
      <c r="D86" s="100">
        <v>1466</v>
      </c>
      <c r="E86" s="100" t="s">
        <v>106</v>
      </c>
      <c r="F86" s="100" t="s">
        <v>831</v>
      </c>
      <c r="G86" s="100" t="s">
        <v>163</v>
      </c>
      <c r="H86" s="297"/>
      <c r="I86" s="298">
        <v>18</v>
      </c>
      <c r="J86" s="320"/>
      <c r="K86" s="320"/>
      <c r="L86" s="320"/>
      <c r="M86" s="335">
        <f t="shared" si="15"/>
        <v>18</v>
      </c>
      <c r="N86" s="320"/>
      <c r="O86" s="292"/>
    </row>
    <row r="87" spans="1:15" ht="16" x14ac:dyDescent="0.2">
      <c r="A87" s="280">
        <v>45915</v>
      </c>
      <c r="B87" s="100" t="s">
        <v>255</v>
      </c>
      <c r="C87" s="100" t="s">
        <v>707</v>
      </c>
      <c r="D87" s="100" t="s">
        <v>249</v>
      </c>
      <c r="E87" s="100" t="s">
        <v>106</v>
      </c>
      <c r="F87" s="100"/>
      <c r="G87" s="100" t="s">
        <v>477</v>
      </c>
      <c r="H87" s="297"/>
      <c r="I87" s="298">
        <v>56.83</v>
      </c>
      <c r="J87" s="320"/>
      <c r="K87" s="320"/>
      <c r="L87" s="320"/>
      <c r="M87" s="335">
        <f t="shared" si="15"/>
        <v>56.83</v>
      </c>
      <c r="N87" s="320"/>
      <c r="O87" s="292"/>
    </row>
    <row r="88" spans="1:15" ht="16" x14ac:dyDescent="0.2">
      <c r="A88" s="280">
        <v>45915</v>
      </c>
      <c r="B88" s="100" t="s">
        <v>507</v>
      </c>
      <c r="C88" s="100" t="s">
        <v>708</v>
      </c>
      <c r="D88" s="100" t="s">
        <v>811</v>
      </c>
      <c r="E88" s="100" t="s">
        <v>106</v>
      </c>
      <c r="F88" s="100"/>
      <c r="G88" s="100" t="s">
        <v>477</v>
      </c>
      <c r="H88" s="297"/>
      <c r="I88" s="298">
        <v>30</v>
      </c>
      <c r="J88" s="320"/>
      <c r="K88" s="320"/>
      <c r="L88" s="320"/>
      <c r="M88" s="335">
        <f t="shared" si="15"/>
        <v>30</v>
      </c>
      <c r="N88" s="320"/>
      <c r="O88" s="292"/>
    </row>
    <row r="89" spans="1:15" ht="16" x14ac:dyDescent="0.2">
      <c r="A89" s="280">
        <v>45915</v>
      </c>
      <c r="B89" s="100" t="s">
        <v>426</v>
      </c>
      <c r="C89" s="100" t="s">
        <v>707</v>
      </c>
      <c r="D89" s="100" t="s">
        <v>249</v>
      </c>
      <c r="E89" s="100" t="s">
        <v>106</v>
      </c>
      <c r="F89" s="100"/>
      <c r="G89" s="100" t="s">
        <v>477</v>
      </c>
      <c r="H89" s="297"/>
      <c r="I89" s="298">
        <v>5.8</v>
      </c>
      <c r="J89" s="320"/>
      <c r="K89" s="320"/>
      <c r="L89" s="320"/>
      <c r="M89" s="335">
        <f t="shared" si="15"/>
        <v>5.8</v>
      </c>
      <c r="N89" s="320"/>
      <c r="O89" s="292"/>
    </row>
    <row r="90" spans="1:15" ht="32" x14ac:dyDescent="0.2">
      <c r="A90" s="280">
        <v>45915</v>
      </c>
      <c r="B90" s="100" t="s">
        <v>709</v>
      </c>
      <c r="C90" s="100" t="s">
        <v>710</v>
      </c>
      <c r="D90" s="100">
        <v>8001863334</v>
      </c>
      <c r="E90" s="100" t="s">
        <v>106</v>
      </c>
      <c r="F90" s="100"/>
      <c r="G90" s="100" t="s">
        <v>47</v>
      </c>
      <c r="H90" s="297"/>
      <c r="I90" s="298">
        <v>400</v>
      </c>
      <c r="J90" s="320"/>
      <c r="K90" s="320"/>
      <c r="L90" s="320"/>
      <c r="M90" s="335">
        <f t="shared" si="15"/>
        <v>400</v>
      </c>
      <c r="N90" s="320"/>
      <c r="O90" s="292"/>
    </row>
    <row r="91" spans="1:15" ht="16" x14ac:dyDescent="0.2">
      <c r="A91" s="280">
        <v>45915</v>
      </c>
      <c r="B91" s="100" t="s">
        <v>119</v>
      </c>
      <c r="C91" s="100" t="s">
        <v>711</v>
      </c>
      <c r="D91" s="100" t="s">
        <v>812</v>
      </c>
      <c r="E91" s="100"/>
      <c r="F91" s="100"/>
      <c r="G91" s="100" t="s">
        <v>9</v>
      </c>
      <c r="H91" s="297">
        <v>135</v>
      </c>
      <c r="I91" s="298"/>
      <c r="J91" s="320"/>
      <c r="K91" s="335">
        <f>H91</f>
        <v>135</v>
      </c>
      <c r="L91" s="320"/>
      <c r="M91" s="320"/>
      <c r="N91" s="320"/>
      <c r="O91" s="292"/>
    </row>
    <row r="92" spans="1:15" ht="16" x14ac:dyDescent="0.2">
      <c r="A92" s="280">
        <v>45916</v>
      </c>
      <c r="B92" s="100" t="s">
        <v>577</v>
      </c>
      <c r="C92" s="100" t="s">
        <v>712</v>
      </c>
      <c r="D92" s="100">
        <v>16704</v>
      </c>
      <c r="E92" s="100" t="s">
        <v>106</v>
      </c>
      <c r="F92" s="100" t="s">
        <v>831</v>
      </c>
      <c r="G92" s="100" t="s">
        <v>50</v>
      </c>
      <c r="H92" s="297"/>
      <c r="I92" s="298">
        <v>597.11</v>
      </c>
      <c r="J92" s="320"/>
      <c r="K92" s="320"/>
      <c r="L92" s="320"/>
      <c r="M92" s="335">
        <f t="shared" ref="M92:M94" si="16">I92</f>
        <v>597.11</v>
      </c>
      <c r="N92" s="320"/>
      <c r="O92" s="292"/>
    </row>
    <row r="93" spans="1:15" ht="16" x14ac:dyDescent="0.2">
      <c r="A93" s="280">
        <v>45916</v>
      </c>
      <c r="B93" s="100" t="s">
        <v>713</v>
      </c>
      <c r="C93" s="100" t="s">
        <v>714</v>
      </c>
      <c r="D93" s="100" t="s">
        <v>813</v>
      </c>
      <c r="E93" s="100" t="s">
        <v>106</v>
      </c>
      <c r="F93" s="100" t="s">
        <v>831</v>
      </c>
      <c r="G93" s="100" t="s">
        <v>148</v>
      </c>
      <c r="H93" s="297"/>
      <c r="I93" s="298">
        <v>619.84</v>
      </c>
      <c r="J93" s="320"/>
      <c r="K93" s="320"/>
      <c r="L93" s="320"/>
      <c r="M93" s="335">
        <f t="shared" si="16"/>
        <v>619.84</v>
      </c>
      <c r="N93" s="320"/>
      <c r="O93" s="292"/>
    </row>
    <row r="94" spans="1:15" ht="16" x14ac:dyDescent="0.2">
      <c r="A94" s="280">
        <v>45919</v>
      </c>
      <c r="B94" s="100" t="s">
        <v>545</v>
      </c>
      <c r="C94" s="100" t="s">
        <v>611</v>
      </c>
      <c r="D94" s="100">
        <v>464347398</v>
      </c>
      <c r="E94" s="100" t="s">
        <v>106</v>
      </c>
      <c r="F94" s="100"/>
      <c r="G94" s="100" t="s">
        <v>27</v>
      </c>
      <c r="H94" s="297"/>
      <c r="I94" s="298">
        <v>4.25</v>
      </c>
      <c r="J94" s="320"/>
      <c r="K94" s="320"/>
      <c r="L94" s="320"/>
      <c r="M94" s="335">
        <f t="shared" si="16"/>
        <v>4.25</v>
      </c>
      <c r="N94" s="320"/>
      <c r="O94" s="292"/>
    </row>
    <row r="95" spans="1:15" ht="16" x14ac:dyDescent="0.2">
      <c r="A95" s="280">
        <v>45923</v>
      </c>
      <c r="B95" s="100" t="s">
        <v>119</v>
      </c>
      <c r="C95" s="100" t="s">
        <v>715</v>
      </c>
      <c r="D95" s="100" t="s">
        <v>794</v>
      </c>
      <c r="E95" s="100"/>
      <c r="F95" s="100"/>
      <c r="G95" s="100" t="s">
        <v>6</v>
      </c>
      <c r="H95" s="297">
        <v>20</v>
      </c>
      <c r="I95" s="298"/>
      <c r="J95" s="320"/>
      <c r="K95" s="335">
        <f t="shared" ref="K95:K99" si="17">H95</f>
        <v>20</v>
      </c>
      <c r="L95" s="320"/>
      <c r="M95" s="320"/>
      <c r="N95" s="320"/>
      <c r="O95" s="292"/>
    </row>
    <row r="96" spans="1:15" ht="16" x14ac:dyDescent="0.2">
      <c r="A96" s="280">
        <v>45923</v>
      </c>
      <c r="B96" s="100" t="s">
        <v>119</v>
      </c>
      <c r="C96" s="100" t="s">
        <v>716</v>
      </c>
      <c r="D96" s="100" t="s">
        <v>794</v>
      </c>
      <c r="E96" s="100"/>
      <c r="F96" s="100"/>
      <c r="G96" s="100" t="s">
        <v>6</v>
      </c>
      <c r="H96" s="297">
        <v>40</v>
      </c>
      <c r="I96" s="298"/>
      <c r="J96" s="320"/>
      <c r="K96" s="335">
        <f t="shared" si="17"/>
        <v>40</v>
      </c>
      <c r="L96" s="320"/>
      <c r="M96" s="320"/>
      <c r="N96" s="320"/>
      <c r="O96" s="292"/>
    </row>
    <row r="97" spans="1:15" ht="16" x14ac:dyDescent="0.2">
      <c r="A97" s="280">
        <v>45923</v>
      </c>
      <c r="B97" s="100" t="s">
        <v>119</v>
      </c>
      <c r="C97" s="100" t="s">
        <v>717</v>
      </c>
      <c r="D97" s="100" t="s">
        <v>794</v>
      </c>
      <c r="E97" s="100"/>
      <c r="F97" s="100"/>
      <c r="G97" s="100" t="s">
        <v>6</v>
      </c>
      <c r="H97" s="297">
        <v>20</v>
      </c>
      <c r="I97" s="298"/>
      <c r="J97" s="320"/>
      <c r="K97" s="335">
        <f t="shared" si="17"/>
        <v>20</v>
      </c>
      <c r="L97" s="320"/>
      <c r="M97" s="320"/>
      <c r="N97" s="320"/>
      <c r="O97" s="292"/>
    </row>
    <row r="98" spans="1:15" ht="16" x14ac:dyDescent="0.2">
      <c r="A98" s="280">
        <v>45924</v>
      </c>
      <c r="B98" s="100" t="s">
        <v>119</v>
      </c>
      <c r="C98" s="100" t="s">
        <v>718</v>
      </c>
      <c r="D98" s="100" t="s">
        <v>795</v>
      </c>
      <c r="E98" s="100"/>
      <c r="F98" s="100"/>
      <c r="G98" s="100" t="s">
        <v>6</v>
      </c>
      <c r="H98" s="297">
        <v>20</v>
      </c>
      <c r="I98" s="298"/>
      <c r="J98" s="320"/>
      <c r="K98" s="335">
        <f t="shared" si="17"/>
        <v>20</v>
      </c>
      <c r="L98" s="320"/>
      <c r="M98" s="320"/>
      <c r="N98" s="320"/>
      <c r="O98" s="292"/>
    </row>
    <row r="99" spans="1:15" ht="16" x14ac:dyDescent="0.2">
      <c r="A99" s="280">
        <v>45925</v>
      </c>
      <c r="B99" s="100" t="s">
        <v>119</v>
      </c>
      <c r="C99" s="100" t="s">
        <v>719</v>
      </c>
      <c r="D99" s="100" t="s">
        <v>796</v>
      </c>
      <c r="E99" s="100"/>
      <c r="F99" s="100"/>
      <c r="G99" s="100" t="s">
        <v>6</v>
      </c>
      <c r="H99" s="297">
        <v>20</v>
      </c>
      <c r="I99" s="298"/>
      <c r="J99" s="320"/>
      <c r="K99" s="335">
        <f t="shared" si="17"/>
        <v>20</v>
      </c>
      <c r="L99" s="320"/>
      <c r="M99" s="320"/>
      <c r="N99" s="320"/>
      <c r="O99" s="292"/>
    </row>
    <row r="100" spans="1:15" ht="32" x14ac:dyDescent="0.2">
      <c r="A100" s="280">
        <v>45926</v>
      </c>
      <c r="B100" s="100" t="s">
        <v>832</v>
      </c>
      <c r="C100" s="100" t="s">
        <v>720</v>
      </c>
      <c r="D100" s="100" t="s">
        <v>808</v>
      </c>
      <c r="E100" s="100" t="s">
        <v>239</v>
      </c>
      <c r="F100" s="100"/>
      <c r="G100" s="100" t="s">
        <v>21</v>
      </c>
      <c r="H100" s="297"/>
      <c r="I100" s="298">
        <v>47</v>
      </c>
      <c r="J100" s="320"/>
      <c r="K100" s="320"/>
      <c r="L100" s="320"/>
      <c r="M100" s="335">
        <f>I100</f>
        <v>47</v>
      </c>
      <c r="N100" s="320"/>
      <c r="O100" s="292"/>
    </row>
    <row r="101" spans="1:15" ht="16" x14ac:dyDescent="0.2">
      <c r="A101" s="280">
        <v>45929</v>
      </c>
      <c r="B101" s="100" t="s">
        <v>119</v>
      </c>
      <c r="C101" s="100" t="s">
        <v>721</v>
      </c>
      <c r="D101" s="100" t="s">
        <v>798</v>
      </c>
      <c r="E101" s="100"/>
      <c r="F101" s="100"/>
      <c r="G101" s="100" t="s">
        <v>6</v>
      </c>
      <c r="H101" s="297">
        <v>60</v>
      </c>
      <c r="I101" s="298"/>
      <c r="J101" s="320"/>
      <c r="K101" s="335">
        <f t="shared" ref="K101:K103" si="18">H101</f>
        <v>60</v>
      </c>
      <c r="L101" s="320"/>
      <c r="M101" s="320"/>
      <c r="N101" s="320"/>
      <c r="O101" s="292"/>
    </row>
    <row r="102" spans="1:15" ht="16" x14ac:dyDescent="0.2">
      <c r="A102" s="280">
        <v>45929</v>
      </c>
      <c r="B102" s="100" t="s">
        <v>119</v>
      </c>
      <c r="C102" s="100" t="s">
        <v>722</v>
      </c>
      <c r="D102" s="100" t="s">
        <v>798</v>
      </c>
      <c r="E102" s="100"/>
      <c r="F102" s="100"/>
      <c r="G102" s="100" t="s">
        <v>6</v>
      </c>
      <c r="H102" s="297">
        <v>20</v>
      </c>
      <c r="I102" s="298"/>
      <c r="J102" s="320"/>
      <c r="K102" s="335">
        <f t="shared" si="18"/>
        <v>20</v>
      </c>
      <c r="L102" s="320"/>
      <c r="M102" s="320"/>
      <c r="N102" s="320"/>
      <c r="O102" s="292"/>
    </row>
    <row r="103" spans="1:15" ht="16" x14ac:dyDescent="0.2">
      <c r="A103" s="280">
        <v>45930</v>
      </c>
      <c r="B103" s="100" t="s">
        <v>119</v>
      </c>
      <c r="C103" s="100" t="s">
        <v>723</v>
      </c>
      <c r="D103" s="100" t="s">
        <v>799</v>
      </c>
      <c r="E103" s="100"/>
      <c r="F103" s="100"/>
      <c r="G103" s="100" t="s">
        <v>6</v>
      </c>
      <c r="H103" s="297">
        <v>20</v>
      </c>
      <c r="I103" s="298"/>
      <c r="J103" s="320"/>
      <c r="K103" s="335">
        <f t="shared" si="18"/>
        <v>20</v>
      </c>
      <c r="L103" s="320"/>
      <c r="M103" s="320"/>
      <c r="N103" s="320"/>
      <c r="O103" s="292"/>
    </row>
    <row r="104" spans="1:15" ht="32" x14ac:dyDescent="0.2">
      <c r="A104" s="280">
        <v>45931</v>
      </c>
      <c r="B104" s="100" t="s">
        <v>724</v>
      </c>
      <c r="C104" s="100" t="s">
        <v>725</v>
      </c>
      <c r="D104" s="100" t="s">
        <v>814</v>
      </c>
      <c r="E104" s="100" t="s">
        <v>106</v>
      </c>
      <c r="F104" s="100" t="s">
        <v>831</v>
      </c>
      <c r="G104" s="100" t="s">
        <v>48</v>
      </c>
      <c r="H104" s="297"/>
      <c r="I104" s="298">
        <v>536.4</v>
      </c>
      <c r="J104" s="320"/>
      <c r="K104" s="320"/>
      <c r="L104" s="320"/>
      <c r="M104" s="335">
        <f t="shared" ref="M104:M105" si="19">I104</f>
        <v>536.4</v>
      </c>
      <c r="N104" s="320"/>
      <c r="O104" s="292"/>
    </row>
    <row r="105" spans="1:15" ht="16" x14ac:dyDescent="0.2">
      <c r="A105" s="280">
        <v>45931</v>
      </c>
      <c r="B105" s="100" t="s">
        <v>680</v>
      </c>
      <c r="C105" s="100" t="s">
        <v>726</v>
      </c>
      <c r="D105" s="100">
        <v>33932</v>
      </c>
      <c r="E105" s="100" t="s">
        <v>106</v>
      </c>
      <c r="F105" s="100" t="s">
        <v>831</v>
      </c>
      <c r="G105" s="100" t="s">
        <v>38</v>
      </c>
      <c r="H105" s="297"/>
      <c r="I105" s="298">
        <v>150</v>
      </c>
      <c r="J105" s="320"/>
      <c r="K105" s="320"/>
      <c r="L105" s="320"/>
      <c r="M105" s="335">
        <f t="shared" si="19"/>
        <v>150</v>
      </c>
      <c r="N105" s="320"/>
      <c r="O105" s="292"/>
    </row>
    <row r="106" spans="1:15" ht="16" x14ac:dyDescent="0.2">
      <c r="A106" s="280">
        <v>45936</v>
      </c>
      <c r="B106" s="100" t="s">
        <v>119</v>
      </c>
      <c r="C106" s="100" t="s">
        <v>727</v>
      </c>
      <c r="D106" s="100" t="s">
        <v>800</v>
      </c>
      <c r="E106" s="100"/>
      <c r="F106" s="100"/>
      <c r="G106" s="100" t="s">
        <v>6</v>
      </c>
      <c r="H106" s="297">
        <v>20</v>
      </c>
      <c r="I106" s="298"/>
      <c r="J106" s="320"/>
      <c r="K106" s="335">
        <f>H106</f>
        <v>20</v>
      </c>
      <c r="L106" s="320"/>
      <c r="M106" s="320"/>
      <c r="N106" s="320"/>
      <c r="O106" s="292"/>
    </row>
    <row r="107" spans="1:15" ht="16" x14ac:dyDescent="0.2">
      <c r="A107" s="280">
        <v>45943</v>
      </c>
      <c r="B107" s="100" t="s">
        <v>728</v>
      </c>
      <c r="C107" s="100" t="s">
        <v>730</v>
      </c>
      <c r="D107" s="100"/>
      <c r="E107" s="100"/>
      <c r="F107" s="100"/>
      <c r="G107" s="100" t="s">
        <v>13</v>
      </c>
      <c r="H107" s="297"/>
      <c r="I107" s="298">
        <v>73.5</v>
      </c>
      <c r="J107" s="320"/>
      <c r="K107" s="320"/>
      <c r="L107" s="335">
        <f t="shared" ref="L107:L108" si="20">I107</f>
        <v>73.5</v>
      </c>
      <c r="M107" s="320"/>
      <c r="N107" s="320"/>
      <c r="O107" s="292"/>
    </row>
    <row r="108" spans="1:15" ht="16" x14ac:dyDescent="0.2">
      <c r="A108" s="280">
        <v>45943</v>
      </c>
      <c r="B108" s="100" t="s">
        <v>729</v>
      </c>
      <c r="C108" s="100" t="s">
        <v>731</v>
      </c>
      <c r="D108" s="100"/>
      <c r="E108" s="100"/>
      <c r="F108" s="100"/>
      <c r="G108" s="100" t="s">
        <v>13</v>
      </c>
      <c r="H108" s="297"/>
      <c r="I108" s="298">
        <v>294.14</v>
      </c>
      <c r="J108" s="320"/>
      <c r="K108" s="320"/>
      <c r="L108" s="335">
        <f t="shared" si="20"/>
        <v>294.14</v>
      </c>
      <c r="M108" s="320"/>
      <c r="N108" s="320"/>
      <c r="O108" s="292"/>
    </row>
    <row r="109" spans="1:15" ht="16" x14ac:dyDescent="0.2">
      <c r="A109" s="280">
        <v>45943</v>
      </c>
      <c r="B109" s="100" t="s">
        <v>729</v>
      </c>
      <c r="C109" s="100" t="s">
        <v>732</v>
      </c>
      <c r="D109" s="100"/>
      <c r="E109" s="100"/>
      <c r="F109" s="100"/>
      <c r="G109" s="100" t="s">
        <v>19</v>
      </c>
      <c r="H109" s="297"/>
      <c r="I109" s="298">
        <v>1.1299999999999999</v>
      </c>
      <c r="J109" s="320"/>
      <c r="K109" s="320"/>
      <c r="L109" s="320"/>
      <c r="M109" s="335">
        <f>I109</f>
        <v>1.1299999999999999</v>
      </c>
      <c r="N109" s="320"/>
      <c r="O109" s="292"/>
    </row>
    <row r="110" spans="1:15" ht="16" x14ac:dyDescent="0.2">
      <c r="A110" s="280">
        <v>45943</v>
      </c>
      <c r="B110" s="100" t="s">
        <v>728</v>
      </c>
      <c r="C110" s="100" t="s">
        <v>733</v>
      </c>
      <c r="D110" s="100"/>
      <c r="E110" s="100"/>
      <c r="F110" s="100"/>
      <c r="G110" s="100" t="s">
        <v>17</v>
      </c>
      <c r="H110" s="297"/>
      <c r="I110" s="298">
        <v>31.5</v>
      </c>
      <c r="J110" s="320"/>
      <c r="K110" s="320"/>
      <c r="L110" s="335">
        <f t="shared" ref="L110:L111" si="21">I110</f>
        <v>31.5</v>
      </c>
      <c r="M110" s="320"/>
      <c r="N110" s="320"/>
      <c r="O110" s="292"/>
    </row>
    <row r="111" spans="1:15" ht="16" x14ac:dyDescent="0.2">
      <c r="A111" s="280">
        <v>45943</v>
      </c>
      <c r="B111" s="100" t="s">
        <v>729</v>
      </c>
      <c r="C111" s="100" t="s">
        <v>733</v>
      </c>
      <c r="D111" s="100"/>
      <c r="E111" s="100"/>
      <c r="F111" s="100"/>
      <c r="G111" s="100" t="s">
        <v>17</v>
      </c>
      <c r="H111" s="297"/>
      <c r="I111" s="298">
        <v>126.06</v>
      </c>
      <c r="J111" s="320"/>
      <c r="K111" s="320"/>
      <c r="L111" s="335">
        <f t="shared" si="21"/>
        <v>126.06</v>
      </c>
      <c r="M111" s="320"/>
      <c r="N111" s="320"/>
      <c r="O111" s="292"/>
    </row>
    <row r="112" spans="1:15" ht="16" x14ac:dyDescent="0.2">
      <c r="A112" s="280">
        <v>45943</v>
      </c>
      <c r="B112" s="100" t="s">
        <v>296</v>
      </c>
      <c r="C112" s="100" t="s">
        <v>734</v>
      </c>
      <c r="D112" s="100">
        <v>7263</v>
      </c>
      <c r="E112" s="100" t="s">
        <v>106</v>
      </c>
      <c r="F112" s="100"/>
      <c r="G112" s="100" t="s">
        <v>34</v>
      </c>
      <c r="H112" s="297"/>
      <c r="I112" s="298">
        <v>150</v>
      </c>
      <c r="J112" s="320"/>
      <c r="K112" s="320"/>
      <c r="L112" s="320"/>
      <c r="M112" s="335">
        <f>I112</f>
        <v>150</v>
      </c>
      <c r="N112" s="320"/>
      <c r="O112" s="292"/>
    </row>
    <row r="113" spans="1:15" ht="16" x14ac:dyDescent="0.2">
      <c r="A113" s="280">
        <v>45943</v>
      </c>
      <c r="B113" s="100" t="s">
        <v>119</v>
      </c>
      <c r="C113" s="100" t="s">
        <v>735</v>
      </c>
      <c r="D113" s="100" t="s">
        <v>801</v>
      </c>
      <c r="E113" s="100"/>
      <c r="F113" s="100"/>
      <c r="G113" s="100" t="s">
        <v>6</v>
      </c>
      <c r="H113" s="297">
        <v>20</v>
      </c>
      <c r="I113" s="298"/>
      <c r="J113" s="320"/>
      <c r="K113" s="335">
        <f t="shared" ref="K113:K114" si="22">H113</f>
        <v>20</v>
      </c>
      <c r="L113" s="320"/>
      <c r="M113" s="320"/>
      <c r="N113" s="320"/>
      <c r="O113" s="292"/>
    </row>
    <row r="114" spans="1:15" ht="16" x14ac:dyDescent="0.2">
      <c r="A114" s="280">
        <v>45945</v>
      </c>
      <c r="B114" s="100" t="s">
        <v>119</v>
      </c>
      <c r="C114" s="100" t="s">
        <v>736</v>
      </c>
      <c r="D114" s="100" t="s">
        <v>802</v>
      </c>
      <c r="E114" s="100"/>
      <c r="F114" s="100"/>
      <c r="G114" s="100" t="s">
        <v>6</v>
      </c>
      <c r="H114" s="297">
        <v>20</v>
      </c>
      <c r="I114" s="298"/>
      <c r="J114" s="320"/>
      <c r="K114" s="335">
        <f t="shared" si="22"/>
        <v>20</v>
      </c>
      <c r="L114" s="320"/>
      <c r="M114" s="320"/>
      <c r="N114" s="320"/>
      <c r="O114" s="292"/>
    </row>
    <row r="115" spans="1:15" ht="16" x14ac:dyDescent="0.2">
      <c r="A115" s="280">
        <v>45945</v>
      </c>
      <c r="B115" s="100" t="s">
        <v>577</v>
      </c>
      <c r="C115" s="100" t="s">
        <v>737</v>
      </c>
      <c r="D115" s="100">
        <v>16754</v>
      </c>
      <c r="E115" s="100" t="s">
        <v>106</v>
      </c>
      <c r="F115" s="100" t="s">
        <v>831</v>
      </c>
      <c r="G115" s="100" t="s">
        <v>50</v>
      </c>
      <c r="H115" s="297"/>
      <c r="I115" s="298">
        <v>597.11</v>
      </c>
      <c r="J115" s="320"/>
      <c r="K115" s="320"/>
      <c r="L115" s="320"/>
      <c r="M115" s="335">
        <f>I115</f>
        <v>597.11</v>
      </c>
      <c r="N115" s="320"/>
      <c r="O115" s="292"/>
    </row>
    <row r="116" spans="1:15" ht="16" x14ac:dyDescent="0.2">
      <c r="A116" s="280">
        <v>45945</v>
      </c>
      <c r="B116" s="100" t="s">
        <v>119</v>
      </c>
      <c r="C116" s="100" t="s">
        <v>738</v>
      </c>
      <c r="D116" s="100" t="s">
        <v>803</v>
      </c>
      <c r="E116" s="100"/>
      <c r="F116" s="100"/>
      <c r="G116" s="100" t="s">
        <v>6</v>
      </c>
      <c r="H116" s="297">
        <v>20</v>
      </c>
      <c r="I116" s="298"/>
      <c r="J116" s="320"/>
      <c r="K116" s="335">
        <f t="shared" ref="K116:K117" si="23">H116</f>
        <v>20</v>
      </c>
      <c r="L116" s="320"/>
      <c r="M116" s="320"/>
      <c r="N116" s="320"/>
      <c r="O116" s="292"/>
    </row>
    <row r="117" spans="1:15" ht="16" x14ac:dyDescent="0.2">
      <c r="A117" s="280">
        <v>45950</v>
      </c>
      <c r="B117" s="100" t="s">
        <v>119</v>
      </c>
      <c r="C117" s="100" t="s">
        <v>739</v>
      </c>
      <c r="D117" s="100" t="s">
        <v>804</v>
      </c>
      <c r="E117" s="100"/>
      <c r="F117" s="100"/>
      <c r="G117" s="100" t="s">
        <v>6</v>
      </c>
      <c r="H117" s="297">
        <v>20</v>
      </c>
      <c r="I117" s="298"/>
      <c r="J117" s="320"/>
      <c r="K117" s="335">
        <f t="shared" si="23"/>
        <v>20</v>
      </c>
      <c r="L117" s="320"/>
      <c r="M117" s="320"/>
      <c r="N117" s="320"/>
      <c r="O117" s="292"/>
    </row>
    <row r="118" spans="1:15" ht="16" x14ac:dyDescent="0.2">
      <c r="A118" s="280">
        <v>45950</v>
      </c>
      <c r="B118" s="100" t="s">
        <v>545</v>
      </c>
      <c r="C118" s="100" t="s">
        <v>611</v>
      </c>
      <c r="D118" s="100">
        <v>466775206</v>
      </c>
      <c r="E118" s="100" t="s">
        <v>106</v>
      </c>
      <c r="F118" s="100"/>
      <c r="G118" s="100" t="s">
        <v>27</v>
      </c>
      <c r="H118" s="297"/>
      <c r="I118" s="298">
        <v>4.25</v>
      </c>
      <c r="J118" s="320"/>
      <c r="K118" s="320"/>
      <c r="L118" s="320"/>
      <c r="M118" s="335">
        <f>I118</f>
        <v>4.25</v>
      </c>
      <c r="N118" s="320"/>
      <c r="O118" s="292"/>
    </row>
    <row r="119" spans="1:15" ht="16" x14ac:dyDescent="0.2">
      <c r="A119" s="280">
        <v>45952</v>
      </c>
      <c r="B119" s="100" t="s">
        <v>119</v>
      </c>
      <c r="C119" s="100" t="s">
        <v>740</v>
      </c>
      <c r="D119" s="100" t="s">
        <v>805</v>
      </c>
      <c r="E119" s="100"/>
      <c r="F119" s="100"/>
      <c r="G119" s="100" t="s">
        <v>6</v>
      </c>
      <c r="H119" s="297">
        <v>20</v>
      </c>
      <c r="I119" s="298"/>
      <c r="J119" s="320"/>
      <c r="K119" s="335">
        <f>H119</f>
        <v>20</v>
      </c>
      <c r="L119" s="320"/>
      <c r="M119" s="320"/>
      <c r="N119" s="320"/>
      <c r="O119" s="292"/>
    </row>
    <row r="120" spans="1:15" ht="16" x14ac:dyDescent="0.2">
      <c r="A120" s="280">
        <v>45953</v>
      </c>
      <c r="B120" s="100" t="s">
        <v>96</v>
      </c>
      <c r="C120" s="100" t="s">
        <v>741</v>
      </c>
      <c r="D120" s="100">
        <v>9052587</v>
      </c>
      <c r="E120" s="100" t="s">
        <v>106</v>
      </c>
      <c r="F120" s="100"/>
      <c r="G120" s="100" t="s">
        <v>48</v>
      </c>
      <c r="H120" s="297"/>
      <c r="I120" s="298">
        <v>150.74</v>
      </c>
      <c r="J120" s="320"/>
      <c r="K120" s="320"/>
      <c r="L120" s="320"/>
      <c r="M120" s="335">
        <f t="shared" ref="M120:M122" si="24">I120</f>
        <v>150.74</v>
      </c>
      <c r="N120" s="320"/>
      <c r="O120" s="292"/>
    </row>
    <row r="121" spans="1:15" ht="16" x14ac:dyDescent="0.2">
      <c r="A121" s="280">
        <v>45957</v>
      </c>
      <c r="B121" s="100" t="s">
        <v>742</v>
      </c>
      <c r="C121" s="100" t="s">
        <v>743</v>
      </c>
      <c r="D121" s="100" t="s">
        <v>239</v>
      </c>
      <c r="E121" s="100" t="s">
        <v>106</v>
      </c>
      <c r="F121" s="100"/>
      <c r="G121" s="100" t="s">
        <v>98</v>
      </c>
      <c r="H121" s="297"/>
      <c r="I121" s="298">
        <v>50</v>
      </c>
      <c r="J121" s="320"/>
      <c r="K121" s="320"/>
      <c r="L121" s="320"/>
      <c r="M121" s="335">
        <f t="shared" si="24"/>
        <v>50</v>
      </c>
      <c r="N121" s="320"/>
      <c r="O121" s="292"/>
    </row>
    <row r="122" spans="1:15" ht="16" x14ac:dyDescent="0.2">
      <c r="A122" s="280">
        <v>45959</v>
      </c>
      <c r="B122" s="100" t="s">
        <v>680</v>
      </c>
      <c r="C122" s="100" t="s">
        <v>744</v>
      </c>
      <c r="D122" s="100">
        <v>34009</v>
      </c>
      <c r="E122" s="100" t="s">
        <v>106</v>
      </c>
      <c r="F122" s="100" t="s">
        <v>831</v>
      </c>
      <c r="G122" s="100" t="s">
        <v>38</v>
      </c>
      <c r="H122" s="297"/>
      <c r="I122" s="298">
        <v>120</v>
      </c>
      <c r="J122" s="320"/>
      <c r="K122" s="320"/>
      <c r="L122" s="320"/>
      <c r="M122" s="335">
        <f t="shared" si="24"/>
        <v>120</v>
      </c>
      <c r="N122" s="320"/>
      <c r="O122" s="292"/>
    </row>
    <row r="123" spans="1:15" ht="16" x14ac:dyDescent="0.2">
      <c r="A123" s="280">
        <v>45964</v>
      </c>
      <c r="B123" s="100" t="s">
        <v>119</v>
      </c>
      <c r="C123" s="100" t="s">
        <v>745</v>
      </c>
      <c r="D123" s="100" t="s">
        <v>797</v>
      </c>
      <c r="E123" s="100"/>
      <c r="F123" s="100"/>
      <c r="G123" s="100" t="s">
        <v>9</v>
      </c>
      <c r="H123" s="297">
        <v>161</v>
      </c>
      <c r="I123" s="298"/>
      <c r="J123" s="320"/>
      <c r="K123" s="335">
        <f t="shared" ref="K123:K125" si="25">H123</f>
        <v>161</v>
      </c>
      <c r="L123" s="320"/>
      <c r="M123" s="320"/>
      <c r="N123" s="320"/>
      <c r="O123" s="292"/>
    </row>
    <row r="124" spans="1:15" ht="16" x14ac:dyDescent="0.2">
      <c r="A124" s="280">
        <v>45964</v>
      </c>
      <c r="B124" s="100" t="s">
        <v>119</v>
      </c>
      <c r="C124" s="100" t="s">
        <v>746</v>
      </c>
      <c r="D124" s="100" t="s">
        <v>797</v>
      </c>
      <c r="E124" s="100"/>
      <c r="F124" s="100"/>
      <c r="G124" s="100" t="s">
        <v>6</v>
      </c>
      <c r="H124" s="297">
        <v>20</v>
      </c>
      <c r="I124" s="298"/>
      <c r="J124" s="320"/>
      <c r="K124" s="335">
        <f t="shared" si="25"/>
        <v>20</v>
      </c>
      <c r="L124" s="320"/>
      <c r="M124" s="320"/>
      <c r="N124" s="320"/>
      <c r="O124" s="292"/>
    </row>
    <row r="125" spans="1:15" ht="16" x14ac:dyDescent="0.2">
      <c r="A125" s="280">
        <v>45964</v>
      </c>
      <c r="B125" s="100" t="s">
        <v>119</v>
      </c>
      <c r="C125" s="100" t="s">
        <v>747</v>
      </c>
      <c r="D125" s="100" t="s">
        <v>797</v>
      </c>
      <c r="E125" s="100"/>
      <c r="F125" s="100"/>
      <c r="G125" s="100" t="s">
        <v>6</v>
      </c>
      <c r="H125" s="297">
        <v>20</v>
      </c>
      <c r="I125" s="298"/>
      <c r="J125" s="320"/>
      <c r="K125" s="335">
        <f t="shared" si="25"/>
        <v>20</v>
      </c>
      <c r="L125" s="320"/>
      <c r="M125" s="320"/>
      <c r="N125" s="320"/>
      <c r="O125" s="292"/>
    </row>
    <row r="126" spans="1:15" ht="16" x14ac:dyDescent="0.2">
      <c r="A126" s="280">
        <v>45966</v>
      </c>
      <c r="B126" s="100" t="s">
        <v>507</v>
      </c>
      <c r="C126" s="100" t="s">
        <v>748</v>
      </c>
      <c r="D126" s="100" t="s">
        <v>239</v>
      </c>
      <c r="E126" s="100"/>
      <c r="F126" s="100"/>
      <c r="G126" s="100" t="s">
        <v>156</v>
      </c>
      <c r="H126" s="297"/>
      <c r="I126" s="298">
        <v>75.260000000000005</v>
      </c>
      <c r="J126" s="320"/>
      <c r="K126" s="320"/>
      <c r="L126" s="320"/>
      <c r="M126" s="335">
        <f t="shared" ref="M126:M128" si="26">I126</f>
        <v>75.260000000000005</v>
      </c>
      <c r="N126" s="320"/>
      <c r="O126" s="292"/>
    </row>
    <row r="127" spans="1:15" ht="32" x14ac:dyDescent="0.2">
      <c r="A127" s="280">
        <v>45966</v>
      </c>
      <c r="B127" s="100" t="s">
        <v>380</v>
      </c>
      <c r="C127" s="100" t="s">
        <v>749</v>
      </c>
      <c r="D127" s="100" t="s">
        <v>815</v>
      </c>
      <c r="E127" s="100" t="s">
        <v>106</v>
      </c>
      <c r="F127" s="100" t="s">
        <v>831</v>
      </c>
      <c r="G127" s="100" t="s">
        <v>156</v>
      </c>
      <c r="H127" s="297"/>
      <c r="I127" s="298">
        <v>31.99</v>
      </c>
      <c r="J127" s="320"/>
      <c r="K127" s="320"/>
      <c r="L127" s="320"/>
      <c r="M127" s="335">
        <f t="shared" si="26"/>
        <v>31.99</v>
      </c>
      <c r="N127" s="320"/>
      <c r="O127" s="292"/>
    </row>
    <row r="128" spans="1:15" ht="16" x14ac:dyDescent="0.2">
      <c r="A128" s="280">
        <v>45966</v>
      </c>
      <c r="B128" s="100" t="s">
        <v>380</v>
      </c>
      <c r="C128" s="100" t="s">
        <v>750</v>
      </c>
      <c r="D128" s="100">
        <v>488963</v>
      </c>
      <c r="E128" s="100" t="s">
        <v>106</v>
      </c>
      <c r="F128" s="100" t="s">
        <v>831</v>
      </c>
      <c r="G128" s="100" t="s">
        <v>156</v>
      </c>
      <c r="H128" s="297"/>
      <c r="I128" s="298">
        <v>148.68</v>
      </c>
      <c r="J128" s="320"/>
      <c r="K128" s="320"/>
      <c r="L128" s="320"/>
      <c r="M128" s="335">
        <f t="shared" si="26"/>
        <v>148.68</v>
      </c>
      <c r="N128" s="320"/>
      <c r="O128" s="292"/>
    </row>
    <row r="129" spans="1:15" ht="16" x14ac:dyDescent="0.2">
      <c r="A129" s="280">
        <v>45979</v>
      </c>
      <c r="B129" s="100" t="s">
        <v>754</v>
      </c>
      <c r="C129" s="100" t="s">
        <v>756</v>
      </c>
      <c r="D129" s="100"/>
      <c r="E129" s="100"/>
      <c r="F129" s="100"/>
      <c r="G129" s="100" t="s">
        <v>13</v>
      </c>
      <c r="H129" s="297"/>
      <c r="I129" s="298">
        <v>73.5</v>
      </c>
      <c r="J129" s="320"/>
      <c r="K129" s="320"/>
      <c r="L129" s="335">
        <f t="shared" ref="L129:L130" si="27">I129</f>
        <v>73.5</v>
      </c>
      <c r="M129" s="320"/>
      <c r="N129" s="320"/>
      <c r="O129" s="292"/>
    </row>
    <row r="130" spans="1:15" ht="16" x14ac:dyDescent="0.2">
      <c r="A130" s="280">
        <v>45979</v>
      </c>
      <c r="B130" s="100" t="s">
        <v>755</v>
      </c>
      <c r="C130" s="100" t="s">
        <v>757</v>
      </c>
      <c r="D130" s="100"/>
      <c r="E130" s="100"/>
      <c r="F130" s="100"/>
      <c r="G130" s="100" t="s">
        <v>13</v>
      </c>
      <c r="H130" s="297"/>
      <c r="I130" s="298">
        <v>294.14</v>
      </c>
      <c r="J130" s="320"/>
      <c r="K130" s="320"/>
      <c r="L130" s="335">
        <f t="shared" si="27"/>
        <v>294.14</v>
      </c>
      <c r="M130" s="320"/>
      <c r="N130" s="320"/>
      <c r="O130" s="292"/>
    </row>
    <row r="131" spans="1:15" ht="16" x14ac:dyDescent="0.2">
      <c r="A131" s="280">
        <v>45979</v>
      </c>
      <c r="B131" s="100" t="s">
        <v>755</v>
      </c>
      <c r="C131" s="100" t="s">
        <v>758</v>
      </c>
      <c r="D131" s="100"/>
      <c r="E131" s="100"/>
      <c r="F131" s="100"/>
      <c r="G131" s="100" t="s">
        <v>19</v>
      </c>
      <c r="H131" s="297"/>
      <c r="I131" s="298">
        <v>1.1299999999999999</v>
      </c>
      <c r="J131" s="320"/>
      <c r="K131" s="320"/>
      <c r="L131" s="320"/>
      <c r="M131" s="335">
        <f>I131</f>
        <v>1.1299999999999999</v>
      </c>
      <c r="N131" s="320"/>
      <c r="O131" s="292"/>
    </row>
    <row r="132" spans="1:15" ht="16" x14ac:dyDescent="0.2">
      <c r="A132" s="280">
        <v>45979</v>
      </c>
      <c r="B132" s="100" t="s">
        <v>754</v>
      </c>
      <c r="C132" s="100" t="s">
        <v>759</v>
      </c>
      <c r="D132" s="100"/>
      <c r="E132" s="100"/>
      <c r="F132" s="100"/>
      <c r="G132" s="100" t="s">
        <v>17</v>
      </c>
      <c r="H132" s="297"/>
      <c r="I132" s="298">
        <v>31.5</v>
      </c>
      <c r="J132" s="320"/>
      <c r="K132" s="320"/>
      <c r="L132" s="335">
        <f t="shared" ref="L132:L135" si="28">I132</f>
        <v>31.5</v>
      </c>
      <c r="M132" s="320"/>
      <c r="N132" s="320"/>
      <c r="O132" s="292"/>
    </row>
    <row r="133" spans="1:15" ht="16" x14ac:dyDescent="0.2">
      <c r="A133" s="280">
        <v>45979</v>
      </c>
      <c r="B133" s="100" t="s">
        <v>755</v>
      </c>
      <c r="C133" s="100" t="s">
        <v>759</v>
      </c>
      <c r="D133" s="100"/>
      <c r="E133" s="100"/>
      <c r="F133" s="100"/>
      <c r="G133" s="100" t="s">
        <v>17</v>
      </c>
      <c r="H133" s="297"/>
      <c r="I133" s="298">
        <v>126.06</v>
      </c>
      <c r="J133" s="320"/>
      <c r="K133" s="320"/>
      <c r="L133" s="335">
        <f t="shared" si="28"/>
        <v>126.06</v>
      </c>
      <c r="M133" s="320"/>
      <c r="N133" s="320"/>
      <c r="O133" s="292"/>
    </row>
    <row r="134" spans="1:15" ht="16" x14ac:dyDescent="0.2">
      <c r="A134" s="280">
        <v>45979</v>
      </c>
      <c r="B134" s="100" t="s">
        <v>545</v>
      </c>
      <c r="C134" s="100" t="s">
        <v>611</v>
      </c>
      <c r="D134" s="100">
        <v>469529501</v>
      </c>
      <c r="E134" s="100" t="s">
        <v>106</v>
      </c>
      <c r="F134" s="100"/>
      <c r="G134" s="100" t="s">
        <v>27</v>
      </c>
      <c r="H134" s="297"/>
      <c r="I134" s="298">
        <v>4.25</v>
      </c>
      <c r="J134" s="320"/>
      <c r="K134" s="320"/>
      <c r="L134" s="320"/>
      <c r="M134" s="335">
        <f t="shared" ref="M134:M143" si="29">I134</f>
        <v>4.25</v>
      </c>
      <c r="N134" s="320"/>
      <c r="O134" s="292"/>
    </row>
    <row r="135" spans="1:15" ht="16" x14ac:dyDescent="0.2">
      <c r="A135" s="280">
        <v>45985</v>
      </c>
      <c r="B135" s="100" t="s">
        <v>760</v>
      </c>
      <c r="C135" s="100" t="s">
        <v>761</v>
      </c>
      <c r="D135" s="100"/>
      <c r="E135" s="100"/>
      <c r="F135" s="100"/>
      <c r="G135" s="100" t="s">
        <v>624</v>
      </c>
      <c r="H135" s="297"/>
      <c r="I135" s="298">
        <v>112.83</v>
      </c>
      <c r="J135" s="320"/>
      <c r="K135" s="320"/>
      <c r="L135" s="335">
        <f t="shared" si="28"/>
        <v>112.83</v>
      </c>
      <c r="M135" s="335"/>
      <c r="N135" s="320"/>
      <c r="O135" s="292"/>
    </row>
    <row r="136" spans="1:15" ht="16" x14ac:dyDescent="0.2">
      <c r="A136" s="280">
        <v>45985</v>
      </c>
      <c r="B136" s="100" t="s">
        <v>577</v>
      </c>
      <c r="C136" s="100" t="s">
        <v>762</v>
      </c>
      <c r="D136" s="100">
        <v>16811</v>
      </c>
      <c r="E136" s="100" t="s">
        <v>106</v>
      </c>
      <c r="F136" s="100" t="s">
        <v>831</v>
      </c>
      <c r="G136" s="100" t="s">
        <v>50</v>
      </c>
      <c r="H136" s="297"/>
      <c r="I136" s="298">
        <v>597.11</v>
      </c>
      <c r="J136" s="320"/>
      <c r="K136" s="320"/>
      <c r="L136" s="320"/>
      <c r="M136" s="335">
        <f t="shared" si="29"/>
        <v>597.11</v>
      </c>
      <c r="N136" s="320"/>
      <c r="O136" s="292"/>
    </row>
    <row r="137" spans="1:15" ht="32" x14ac:dyDescent="0.2">
      <c r="A137" s="280">
        <v>45985</v>
      </c>
      <c r="B137" s="100" t="s">
        <v>328</v>
      </c>
      <c r="C137" s="100" t="s">
        <v>763</v>
      </c>
      <c r="D137" s="100" t="s">
        <v>816</v>
      </c>
      <c r="E137" s="100" t="s">
        <v>106</v>
      </c>
      <c r="F137" s="100" t="s">
        <v>831</v>
      </c>
      <c r="G137" s="100" t="s">
        <v>19</v>
      </c>
      <c r="H137" s="297"/>
      <c r="I137" s="298">
        <v>95.88</v>
      </c>
      <c r="J137" s="320"/>
      <c r="K137" s="320"/>
      <c r="L137" s="320"/>
      <c r="M137" s="335">
        <f t="shared" si="29"/>
        <v>95.88</v>
      </c>
      <c r="N137" s="320"/>
      <c r="O137" s="292"/>
    </row>
    <row r="138" spans="1:15" ht="16" x14ac:dyDescent="0.2">
      <c r="A138" s="280">
        <v>45985</v>
      </c>
      <c r="B138" s="100" t="s">
        <v>328</v>
      </c>
      <c r="C138" s="100" t="s">
        <v>764</v>
      </c>
      <c r="D138" s="100" t="s">
        <v>249</v>
      </c>
      <c r="E138" s="100" t="s">
        <v>106</v>
      </c>
      <c r="F138" s="100" t="s">
        <v>828</v>
      </c>
      <c r="G138" s="100" t="s">
        <v>19</v>
      </c>
      <c r="H138" s="297"/>
      <c r="I138" s="298">
        <v>95.88</v>
      </c>
      <c r="J138" s="320"/>
      <c r="K138" s="320"/>
      <c r="L138" s="320"/>
      <c r="M138" s="335">
        <f t="shared" si="29"/>
        <v>95.88</v>
      </c>
      <c r="N138" s="320"/>
      <c r="O138" s="292"/>
    </row>
    <row r="139" spans="1:15" ht="16" x14ac:dyDescent="0.2">
      <c r="A139" s="280">
        <v>45985</v>
      </c>
      <c r="B139" s="100" t="s">
        <v>328</v>
      </c>
      <c r="C139" s="100" t="s">
        <v>765</v>
      </c>
      <c r="D139" s="100" t="s">
        <v>249</v>
      </c>
      <c r="E139" s="100" t="s">
        <v>106</v>
      </c>
      <c r="F139" s="100" t="s">
        <v>828</v>
      </c>
      <c r="G139" s="100" t="s">
        <v>19</v>
      </c>
      <c r="H139" s="297"/>
      <c r="I139" s="298">
        <v>95.88</v>
      </c>
      <c r="J139" s="320"/>
      <c r="K139" s="320"/>
      <c r="L139" s="320"/>
      <c r="M139" s="335">
        <f t="shared" si="29"/>
        <v>95.88</v>
      </c>
      <c r="N139" s="320"/>
      <c r="O139" s="292"/>
    </row>
    <row r="140" spans="1:15" ht="32" x14ac:dyDescent="0.2">
      <c r="A140" s="280">
        <v>45985</v>
      </c>
      <c r="B140" s="100" t="s">
        <v>767</v>
      </c>
      <c r="C140" s="100" t="s">
        <v>766</v>
      </c>
      <c r="D140" s="100" t="s">
        <v>817</v>
      </c>
      <c r="E140" s="100" t="s">
        <v>106</v>
      </c>
      <c r="F140" s="100" t="s">
        <v>831</v>
      </c>
      <c r="G140" s="100" t="s">
        <v>19</v>
      </c>
      <c r="H140" s="297"/>
      <c r="I140" s="298">
        <v>11.93</v>
      </c>
      <c r="J140" s="320"/>
      <c r="K140" s="320"/>
      <c r="L140" s="320"/>
      <c r="M140" s="335">
        <f t="shared" si="29"/>
        <v>11.93</v>
      </c>
      <c r="N140" s="320"/>
      <c r="O140" s="292"/>
    </row>
    <row r="141" spans="1:15" ht="16" x14ac:dyDescent="0.2">
      <c r="A141" s="280">
        <v>45985</v>
      </c>
      <c r="B141" s="100" t="s">
        <v>261</v>
      </c>
      <c r="C141" s="100" t="s">
        <v>768</v>
      </c>
      <c r="D141" s="100" t="s">
        <v>818</v>
      </c>
      <c r="E141" s="100" t="s">
        <v>106</v>
      </c>
      <c r="F141" s="100" t="s">
        <v>831</v>
      </c>
      <c r="G141" s="100" t="s">
        <v>150</v>
      </c>
      <c r="H141" s="297"/>
      <c r="I141" s="298">
        <v>321</v>
      </c>
      <c r="J141" s="320"/>
      <c r="K141" s="320"/>
      <c r="L141" s="320"/>
      <c r="M141" s="335">
        <f t="shared" si="29"/>
        <v>321</v>
      </c>
      <c r="N141" s="320"/>
      <c r="O141" s="292"/>
    </row>
    <row r="142" spans="1:15" ht="16" x14ac:dyDescent="0.2">
      <c r="A142" s="280">
        <v>45985</v>
      </c>
      <c r="B142" s="100" t="s">
        <v>680</v>
      </c>
      <c r="C142" s="100" t="s">
        <v>769</v>
      </c>
      <c r="D142" s="100">
        <v>34080</v>
      </c>
      <c r="E142" s="100" t="s">
        <v>106</v>
      </c>
      <c r="F142" s="100" t="s">
        <v>831</v>
      </c>
      <c r="G142" s="100" t="s">
        <v>38</v>
      </c>
      <c r="H142" s="297"/>
      <c r="I142" s="298">
        <v>576</v>
      </c>
      <c r="J142" s="320"/>
      <c r="K142" s="320"/>
      <c r="L142" s="320"/>
      <c r="M142" s="335">
        <f t="shared" si="29"/>
        <v>576</v>
      </c>
      <c r="N142" s="320"/>
      <c r="O142" s="292"/>
    </row>
    <row r="143" spans="1:15" ht="16" x14ac:dyDescent="0.2">
      <c r="A143" s="280">
        <v>45985</v>
      </c>
      <c r="B143" s="100" t="s">
        <v>528</v>
      </c>
      <c r="C143" s="100" t="s">
        <v>770</v>
      </c>
      <c r="D143" s="100" t="s">
        <v>249</v>
      </c>
      <c r="E143" s="100" t="s">
        <v>106</v>
      </c>
      <c r="F143" s="100" t="s">
        <v>831</v>
      </c>
      <c r="G143" s="100" t="s">
        <v>150</v>
      </c>
      <c r="H143" s="297"/>
      <c r="I143" s="298">
        <v>53.62</v>
      </c>
      <c r="J143" s="320"/>
      <c r="K143" s="320"/>
      <c r="L143" s="320"/>
      <c r="M143" s="335">
        <f t="shared" si="29"/>
        <v>53.62</v>
      </c>
      <c r="N143" s="320"/>
      <c r="O143" s="292"/>
    </row>
    <row r="144" spans="1:15" ht="16" x14ac:dyDescent="0.2">
      <c r="A144" s="280">
        <v>45992</v>
      </c>
      <c r="B144" s="100" t="s">
        <v>119</v>
      </c>
      <c r="C144" s="100" t="s">
        <v>771</v>
      </c>
      <c r="D144" s="100" t="s">
        <v>806</v>
      </c>
      <c r="E144" s="100"/>
      <c r="F144" s="100"/>
      <c r="G144" s="100" t="s">
        <v>9</v>
      </c>
      <c r="H144" s="297">
        <v>90</v>
      </c>
      <c r="I144" s="298"/>
      <c r="J144" s="320"/>
      <c r="K144" s="335">
        <f t="shared" ref="K144:K145" si="30">H144</f>
        <v>90</v>
      </c>
      <c r="L144" s="320"/>
      <c r="M144" s="320"/>
      <c r="N144" s="320"/>
      <c r="O144" s="292"/>
    </row>
    <row r="145" spans="1:15" ht="16" x14ac:dyDescent="0.2">
      <c r="A145" s="280">
        <v>45992</v>
      </c>
      <c r="B145" s="100" t="s">
        <v>119</v>
      </c>
      <c r="C145" s="100" t="s">
        <v>772</v>
      </c>
      <c r="D145" s="100" t="s">
        <v>806</v>
      </c>
      <c r="E145" s="100"/>
      <c r="F145" s="100"/>
      <c r="G145" s="100" t="s">
        <v>6</v>
      </c>
      <c r="H145" s="297">
        <v>20</v>
      </c>
      <c r="I145" s="298"/>
      <c r="J145" s="320"/>
      <c r="K145" s="335">
        <f t="shared" si="30"/>
        <v>20</v>
      </c>
      <c r="L145" s="320"/>
      <c r="M145" s="320"/>
      <c r="N145" s="320"/>
      <c r="O145" s="292"/>
    </row>
    <row r="146" spans="1:15" ht="16" x14ac:dyDescent="0.2">
      <c r="A146" s="280">
        <v>45993</v>
      </c>
      <c r="B146" s="100" t="s">
        <v>312</v>
      </c>
      <c r="C146" s="100" t="s">
        <v>509</v>
      </c>
      <c r="D146" s="100">
        <v>1164</v>
      </c>
      <c r="E146" s="100" t="s">
        <v>106</v>
      </c>
      <c r="F146" s="100" t="s">
        <v>831</v>
      </c>
      <c r="G146" s="100" t="s">
        <v>56</v>
      </c>
      <c r="H146" s="297"/>
      <c r="I146" s="298">
        <v>1920</v>
      </c>
      <c r="J146" s="320"/>
      <c r="K146" s="320"/>
      <c r="L146" s="320"/>
      <c r="M146" s="335">
        <f t="shared" ref="M146:M147" si="31">I146</f>
        <v>1920</v>
      </c>
      <c r="N146" s="320"/>
      <c r="O146" s="292"/>
    </row>
    <row r="147" spans="1:15" ht="16" x14ac:dyDescent="0.2">
      <c r="A147" s="280">
        <v>45993</v>
      </c>
      <c r="B147" s="100" t="s">
        <v>312</v>
      </c>
      <c r="C147" s="100" t="s">
        <v>773</v>
      </c>
      <c r="D147" s="100">
        <v>1163</v>
      </c>
      <c r="E147" s="100" t="s">
        <v>106</v>
      </c>
      <c r="F147" s="100" t="s">
        <v>831</v>
      </c>
      <c r="G147" s="100" t="s">
        <v>56</v>
      </c>
      <c r="H147" s="297"/>
      <c r="I147" s="298">
        <v>660</v>
      </c>
      <c r="J147" s="320"/>
      <c r="K147" s="320"/>
      <c r="L147" s="320"/>
      <c r="M147" s="335">
        <f t="shared" si="31"/>
        <v>660</v>
      </c>
      <c r="N147" s="320"/>
      <c r="O147" s="292"/>
    </row>
    <row r="148" spans="1:15" ht="16" x14ac:dyDescent="0.2">
      <c r="A148" s="280">
        <v>46002</v>
      </c>
      <c r="B148" s="100" t="s">
        <v>119</v>
      </c>
      <c r="C148" s="100" t="s">
        <v>783</v>
      </c>
      <c r="D148" s="100" t="s">
        <v>807</v>
      </c>
      <c r="E148" s="100"/>
      <c r="F148" s="100"/>
      <c r="G148" s="100" t="s">
        <v>9</v>
      </c>
      <c r="H148" s="297">
        <v>150</v>
      </c>
      <c r="I148" s="298"/>
      <c r="J148" s="320"/>
      <c r="K148" s="335">
        <f>H148</f>
        <v>150</v>
      </c>
      <c r="L148" s="320"/>
      <c r="M148" s="320"/>
      <c r="N148" s="320"/>
      <c r="O148" s="292"/>
    </row>
    <row r="149" spans="1:15" ht="16" x14ac:dyDescent="0.2">
      <c r="A149" s="280">
        <v>46006</v>
      </c>
      <c r="B149" s="100" t="s">
        <v>776</v>
      </c>
      <c r="C149" s="100" t="s">
        <v>778</v>
      </c>
      <c r="D149" s="100"/>
      <c r="E149" s="100"/>
      <c r="F149" s="100"/>
      <c r="G149" s="100" t="s">
        <v>13</v>
      </c>
      <c r="H149" s="297"/>
      <c r="I149" s="298">
        <v>73.5</v>
      </c>
      <c r="J149" s="320"/>
      <c r="K149" s="320"/>
      <c r="L149" s="335">
        <f t="shared" ref="L149:L150" si="32">I149</f>
        <v>73.5</v>
      </c>
      <c r="M149" s="320"/>
      <c r="N149" s="320"/>
      <c r="O149" s="292"/>
    </row>
    <row r="150" spans="1:15" ht="16" x14ac:dyDescent="0.2">
      <c r="A150" s="280">
        <v>46006</v>
      </c>
      <c r="B150" s="100" t="s">
        <v>777</v>
      </c>
      <c r="C150" s="100" t="s">
        <v>779</v>
      </c>
      <c r="D150" s="100"/>
      <c r="E150" s="100"/>
      <c r="F150" s="100"/>
      <c r="G150" s="100" t="s">
        <v>13</v>
      </c>
      <c r="H150" s="297"/>
      <c r="I150" s="298">
        <v>294.14</v>
      </c>
      <c r="J150" s="320"/>
      <c r="K150" s="320"/>
      <c r="L150" s="335">
        <f t="shared" si="32"/>
        <v>294.14</v>
      </c>
      <c r="M150" s="320"/>
      <c r="N150" s="320"/>
      <c r="O150" s="292"/>
    </row>
    <row r="151" spans="1:15" ht="16" x14ac:dyDescent="0.2">
      <c r="A151" s="280">
        <v>46006</v>
      </c>
      <c r="B151" s="100" t="s">
        <v>777</v>
      </c>
      <c r="C151" s="100" t="s">
        <v>780</v>
      </c>
      <c r="D151" s="100"/>
      <c r="E151" s="100"/>
      <c r="F151" s="100"/>
      <c r="G151" s="100" t="s">
        <v>19</v>
      </c>
      <c r="H151" s="297"/>
      <c r="I151" s="298">
        <v>13.95</v>
      </c>
      <c r="J151" s="320"/>
      <c r="K151" s="320"/>
      <c r="L151" s="320"/>
      <c r="M151" s="335">
        <f>I151</f>
        <v>13.95</v>
      </c>
      <c r="N151" s="320"/>
      <c r="O151" s="292"/>
    </row>
    <row r="152" spans="1:15" ht="16" x14ac:dyDescent="0.2">
      <c r="A152" s="280">
        <v>46006</v>
      </c>
      <c r="B152" s="100" t="s">
        <v>776</v>
      </c>
      <c r="C152" s="100" t="s">
        <v>781</v>
      </c>
      <c r="D152" s="100"/>
      <c r="E152" s="100"/>
      <c r="F152" s="100"/>
      <c r="G152" s="100" t="s">
        <v>17</v>
      </c>
      <c r="H152" s="297"/>
      <c r="I152" s="298">
        <v>31.5</v>
      </c>
      <c r="J152" s="320"/>
      <c r="K152" s="320"/>
      <c r="L152" s="335">
        <f t="shared" ref="L152:L154" si="33">I152</f>
        <v>31.5</v>
      </c>
      <c r="M152" s="320"/>
      <c r="N152" s="320"/>
      <c r="O152" s="292"/>
    </row>
    <row r="153" spans="1:15" ht="16" x14ac:dyDescent="0.2">
      <c r="A153" s="280">
        <v>46006</v>
      </c>
      <c r="B153" s="100" t="s">
        <v>777</v>
      </c>
      <c r="C153" s="100" t="s">
        <v>781</v>
      </c>
      <c r="D153" s="100"/>
      <c r="E153" s="100"/>
      <c r="F153" s="100"/>
      <c r="G153" s="100" t="s">
        <v>17</v>
      </c>
      <c r="H153" s="297"/>
      <c r="I153" s="298">
        <v>126.06</v>
      </c>
      <c r="J153" s="320"/>
      <c r="K153" s="320"/>
      <c r="L153" s="335">
        <f t="shared" si="33"/>
        <v>126.06</v>
      </c>
      <c r="M153" s="320"/>
      <c r="N153" s="320"/>
      <c r="O153" s="292"/>
    </row>
    <row r="154" spans="1:15" ht="16" x14ac:dyDescent="0.2">
      <c r="A154" s="280">
        <v>46006</v>
      </c>
      <c r="B154" s="100" t="s">
        <v>760</v>
      </c>
      <c r="C154" s="100" t="s">
        <v>782</v>
      </c>
      <c r="D154" s="100"/>
      <c r="E154" s="100"/>
      <c r="F154" s="100"/>
      <c r="G154" s="100" t="s">
        <v>624</v>
      </c>
      <c r="H154" s="297"/>
      <c r="I154" s="298">
        <v>32.46</v>
      </c>
      <c r="J154" s="320"/>
      <c r="K154" s="320"/>
      <c r="L154" s="335">
        <f t="shared" si="33"/>
        <v>32.46</v>
      </c>
      <c r="M154" s="335"/>
      <c r="N154" s="320"/>
      <c r="O154" s="292"/>
    </row>
    <row r="155" spans="1:15" ht="16" x14ac:dyDescent="0.2">
      <c r="A155" s="280">
        <v>46006</v>
      </c>
      <c r="B155" s="100" t="s">
        <v>328</v>
      </c>
      <c r="C155" s="100" t="s">
        <v>784</v>
      </c>
      <c r="D155" s="100" t="s">
        <v>249</v>
      </c>
      <c r="E155" s="100" t="s">
        <v>106</v>
      </c>
      <c r="F155" s="100" t="s">
        <v>831</v>
      </c>
      <c r="G155" s="100" t="s">
        <v>148</v>
      </c>
      <c r="H155" s="297"/>
      <c r="I155" s="298">
        <v>9.69</v>
      </c>
      <c r="J155" s="320"/>
      <c r="K155" s="320"/>
      <c r="L155" s="320"/>
      <c r="M155" s="335">
        <f t="shared" ref="M155:M163" si="34">I155</f>
        <v>9.69</v>
      </c>
      <c r="N155" s="320"/>
      <c r="O155" s="292"/>
    </row>
    <row r="156" spans="1:15" ht="16" x14ac:dyDescent="0.2">
      <c r="A156" s="280">
        <v>46006</v>
      </c>
      <c r="B156" s="100" t="s">
        <v>328</v>
      </c>
      <c r="C156" s="100" t="s">
        <v>785</v>
      </c>
      <c r="D156" s="100" t="s">
        <v>820</v>
      </c>
      <c r="E156" s="100" t="s">
        <v>106</v>
      </c>
      <c r="F156" s="100" t="s">
        <v>831</v>
      </c>
      <c r="G156" s="100" t="s">
        <v>61</v>
      </c>
      <c r="H156" s="297"/>
      <c r="I156" s="298">
        <v>75.180000000000007</v>
      </c>
      <c r="J156" s="320"/>
      <c r="K156" s="320"/>
      <c r="L156" s="320"/>
      <c r="M156" s="335">
        <f t="shared" si="34"/>
        <v>75.180000000000007</v>
      </c>
      <c r="N156" s="320"/>
      <c r="O156" s="292"/>
    </row>
    <row r="157" spans="1:15" ht="16" x14ac:dyDescent="0.2">
      <c r="A157" s="280">
        <v>46006</v>
      </c>
      <c r="B157" s="100" t="s">
        <v>485</v>
      </c>
      <c r="C157" s="100" t="s">
        <v>786</v>
      </c>
      <c r="D157" s="100">
        <v>1720</v>
      </c>
      <c r="E157" s="100" t="s">
        <v>106</v>
      </c>
      <c r="F157" s="100" t="s">
        <v>831</v>
      </c>
      <c r="G157" s="100" t="s">
        <v>25</v>
      </c>
      <c r="H157" s="297"/>
      <c r="I157" s="298">
        <v>273</v>
      </c>
      <c r="J157" s="320"/>
      <c r="K157" s="320"/>
      <c r="L157" s="320"/>
      <c r="M157" s="335">
        <f t="shared" si="34"/>
        <v>273</v>
      </c>
      <c r="N157" s="320"/>
      <c r="O157" s="292"/>
    </row>
    <row r="158" spans="1:15" ht="32" x14ac:dyDescent="0.2">
      <c r="A158" s="280">
        <v>46010</v>
      </c>
      <c r="B158" s="100" t="s">
        <v>528</v>
      </c>
      <c r="C158" s="100" t="s">
        <v>787</v>
      </c>
      <c r="D158" s="100" t="s">
        <v>788</v>
      </c>
      <c r="E158" s="100"/>
      <c r="F158" s="100"/>
      <c r="G158" s="100" t="s">
        <v>61</v>
      </c>
      <c r="H158" s="297"/>
      <c r="I158" s="298">
        <v>12.65</v>
      </c>
      <c r="J158" s="320"/>
      <c r="K158" s="320"/>
      <c r="L158" s="320"/>
      <c r="M158" s="335">
        <f t="shared" si="34"/>
        <v>12.65</v>
      </c>
      <c r="N158" s="320"/>
      <c r="O158" s="292"/>
    </row>
    <row r="159" spans="1:15" ht="32" x14ac:dyDescent="0.2">
      <c r="A159" s="280">
        <v>46010</v>
      </c>
      <c r="B159" s="100" t="s">
        <v>507</v>
      </c>
      <c r="C159" s="100" t="s">
        <v>840</v>
      </c>
      <c r="D159" s="100" t="s">
        <v>819</v>
      </c>
      <c r="E159" s="100" t="s">
        <v>106</v>
      </c>
      <c r="F159" s="100"/>
      <c r="G159" s="100" t="s">
        <v>477</v>
      </c>
      <c r="H159" s="297"/>
      <c r="I159" s="298">
        <v>30</v>
      </c>
      <c r="J159" s="320"/>
      <c r="K159" s="320"/>
      <c r="L159" s="320"/>
      <c r="M159" s="335">
        <f t="shared" si="34"/>
        <v>30</v>
      </c>
      <c r="N159" s="320"/>
      <c r="O159" s="292"/>
    </row>
    <row r="160" spans="1:15" ht="16" x14ac:dyDescent="0.2">
      <c r="A160" s="280">
        <v>46010</v>
      </c>
      <c r="B160" s="100" t="s">
        <v>545</v>
      </c>
      <c r="C160" s="100" t="s">
        <v>611</v>
      </c>
      <c r="D160" s="100">
        <v>471735820</v>
      </c>
      <c r="E160" s="100" t="s">
        <v>106</v>
      </c>
      <c r="F160" s="100"/>
      <c r="G160" s="100" t="s">
        <v>27</v>
      </c>
      <c r="H160" s="297"/>
      <c r="I160" s="298">
        <v>4.25</v>
      </c>
      <c r="J160" s="320"/>
      <c r="K160" s="320"/>
      <c r="L160" s="320"/>
      <c r="M160" s="335">
        <f t="shared" si="34"/>
        <v>4.25</v>
      </c>
      <c r="N160" s="320"/>
      <c r="O160" s="292"/>
    </row>
    <row r="161" spans="1:15" ht="16" x14ac:dyDescent="0.2">
      <c r="A161" s="280">
        <v>46027</v>
      </c>
      <c r="B161" s="100" t="s">
        <v>790</v>
      </c>
      <c r="C161" s="100" t="s">
        <v>791</v>
      </c>
      <c r="D161" s="100">
        <v>9342</v>
      </c>
      <c r="E161" s="100" t="s">
        <v>106</v>
      </c>
      <c r="F161" s="100"/>
      <c r="G161" s="100" t="s">
        <v>51</v>
      </c>
      <c r="H161" s="297"/>
      <c r="I161" s="298">
        <v>427.2</v>
      </c>
      <c r="J161" s="320"/>
      <c r="K161" s="320"/>
      <c r="L161" s="320"/>
      <c r="M161" s="335">
        <f t="shared" si="34"/>
        <v>427.2</v>
      </c>
      <c r="N161" s="320"/>
      <c r="O161" s="292"/>
    </row>
    <row r="162" spans="1:15" ht="16" x14ac:dyDescent="0.2">
      <c r="A162" s="280">
        <v>46027</v>
      </c>
      <c r="B162" s="100" t="s">
        <v>296</v>
      </c>
      <c r="C162" s="100" t="s">
        <v>792</v>
      </c>
      <c r="D162" s="100" t="s">
        <v>793</v>
      </c>
      <c r="E162" s="100" t="s">
        <v>106</v>
      </c>
      <c r="F162" s="100"/>
      <c r="G162" s="100" t="s">
        <v>44</v>
      </c>
      <c r="H162" s="297"/>
      <c r="I162" s="298">
        <v>425.25</v>
      </c>
      <c r="J162" s="320"/>
      <c r="K162" s="320"/>
      <c r="L162" s="320"/>
      <c r="M162" s="335">
        <f t="shared" si="34"/>
        <v>425.25</v>
      </c>
      <c r="N162" s="320"/>
      <c r="O162" s="292"/>
    </row>
    <row r="163" spans="1:15" ht="16" x14ac:dyDescent="0.2">
      <c r="A163" s="280">
        <v>46028</v>
      </c>
      <c r="B163" s="100" t="s">
        <v>528</v>
      </c>
      <c r="C163" s="100" t="s">
        <v>841</v>
      </c>
      <c r="D163" s="100" t="s">
        <v>249</v>
      </c>
      <c r="E163" s="100" t="s">
        <v>106</v>
      </c>
      <c r="F163" s="100"/>
      <c r="G163" s="100" t="s">
        <v>477</v>
      </c>
      <c r="H163" s="297"/>
      <c r="I163" s="298">
        <v>55.34</v>
      </c>
      <c r="J163" s="320"/>
      <c r="K163" s="320"/>
      <c r="L163" s="320"/>
      <c r="M163" s="335">
        <f t="shared" si="34"/>
        <v>55.34</v>
      </c>
      <c r="N163" s="320"/>
      <c r="O163" s="292"/>
    </row>
    <row r="164" spans="1:15" ht="16" x14ac:dyDescent="0.2">
      <c r="A164" s="280">
        <v>46030</v>
      </c>
      <c r="B164" s="100" t="s">
        <v>119</v>
      </c>
      <c r="C164" s="100" t="s">
        <v>842</v>
      </c>
      <c r="D164" s="100"/>
      <c r="E164" s="100"/>
      <c r="F164" s="100"/>
      <c r="G164" s="100" t="s">
        <v>9</v>
      </c>
      <c r="H164" s="297">
        <v>1988.79</v>
      </c>
      <c r="I164" s="298"/>
      <c r="J164" s="320"/>
      <c r="K164" s="335">
        <f>H164</f>
        <v>1988.79</v>
      </c>
      <c r="L164" s="320"/>
      <c r="M164" s="320"/>
      <c r="N164" s="320"/>
      <c r="O164" s="292"/>
    </row>
    <row r="165" spans="1:15" ht="32" x14ac:dyDescent="0.2">
      <c r="A165" s="280">
        <v>46035</v>
      </c>
      <c r="B165" s="100" t="s">
        <v>843</v>
      </c>
      <c r="C165" s="100" t="s">
        <v>844</v>
      </c>
      <c r="D165" s="100" t="s">
        <v>845</v>
      </c>
      <c r="E165" s="100"/>
      <c r="F165" s="100"/>
      <c r="G165" s="100" t="s">
        <v>34</v>
      </c>
      <c r="H165" s="297"/>
      <c r="I165" s="298">
        <v>85</v>
      </c>
      <c r="J165" s="320"/>
      <c r="K165" s="320"/>
      <c r="L165" s="320"/>
      <c r="M165" s="335">
        <f t="shared" ref="M165:M168" si="35">I165</f>
        <v>85</v>
      </c>
      <c r="N165" s="320"/>
      <c r="O165" s="292"/>
    </row>
    <row r="166" spans="1:15" ht="32" x14ac:dyDescent="0.2">
      <c r="A166" s="280">
        <v>46035</v>
      </c>
      <c r="B166" s="100" t="s">
        <v>846</v>
      </c>
      <c r="C166" s="100" t="s">
        <v>847</v>
      </c>
      <c r="D166" s="100" t="s">
        <v>845</v>
      </c>
      <c r="E166" s="100"/>
      <c r="F166" s="100"/>
      <c r="G166" s="100" t="s">
        <v>34</v>
      </c>
      <c r="H166" s="297"/>
      <c r="I166" s="298">
        <v>50</v>
      </c>
      <c r="J166" s="320"/>
      <c r="K166" s="320"/>
      <c r="L166" s="320"/>
      <c r="M166" s="335">
        <f t="shared" si="35"/>
        <v>50</v>
      </c>
      <c r="N166" s="320"/>
      <c r="O166" s="292"/>
    </row>
    <row r="167" spans="1:15" ht="16" x14ac:dyDescent="0.2">
      <c r="A167" s="280">
        <v>46035</v>
      </c>
      <c r="B167" s="100" t="s">
        <v>380</v>
      </c>
      <c r="C167" s="100" t="s">
        <v>848</v>
      </c>
      <c r="D167" s="100" t="s">
        <v>249</v>
      </c>
      <c r="E167" s="100" t="s">
        <v>106</v>
      </c>
      <c r="F167" s="100"/>
      <c r="G167" s="100" t="s">
        <v>477</v>
      </c>
      <c r="H167" s="297"/>
      <c r="I167" s="298">
        <v>41.65</v>
      </c>
      <c r="J167" s="320"/>
      <c r="K167" s="320"/>
      <c r="L167" s="320"/>
      <c r="M167" s="335">
        <f t="shared" si="35"/>
        <v>41.65</v>
      </c>
      <c r="N167" s="320"/>
      <c r="O167" s="292"/>
    </row>
    <row r="168" spans="1:15" ht="16" x14ac:dyDescent="0.2">
      <c r="A168" s="280">
        <v>46035</v>
      </c>
      <c r="B168" s="100" t="s">
        <v>380</v>
      </c>
      <c r="C168" s="100" t="s">
        <v>841</v>
      </c>
      <c r="D168" s="100" t="s">
        <v>249</v>
      </c>
      <c r="E168" s="100" t="s">
        <v>106</v>
      </c>
      <c r="F168" s="100"/>
      <c r="G168" s="100" t="s">
        <v>477</v>
      </c>
      <c r="H168" s="297"/>
      <c r="I168" s="298">
        <v>46.95</v>
      </c>
      <c r="J168" s="320"/>
      <c r="K168" s="320"/>
      <c r="L168" s="320"/>
      <c r="M168" s="335">
        <f t="shared" si="35"/>
        <v>46.95</v>
      </c>
      <c r="N168" s="320"/>
      <c r="O168" s="292"/>
    </row>
    <row r="169" spans="1:15" ht="16" x14ac:dyDescent="0.2">
      <c r="A169" s="280">
        <v>46037</v>
      </c>
      <c r="B169" s="100" t="s">
        <v>852</v>
      </c>
      <c r="C169" s="100" t="s">
        <v>854</v>
      </c>
      <c r="D169" s="100"/>
      <c r="E169" s="100"/>
      <c r="F169" s="100"/>
      <c r="G169" s="100" t="s">
        <v>13</v>
      </c>
      <c r="H169" s="297"/>
      <c r="I169" s="298">
        <v>73.5</v>
      </c>
      <c r="J169" s="320"/>
      <c r="K169" s="320"/>
      <c r="L169" s="335">
        <f t="shared" ref="L169:L170" si="36">I169</f>
        <v>73.5</v>
      </c>
      <c r="M169" s="320"/>
      <c r="N169" s="320"/>
      <c r="O169" s="292"/>
    </row>
    <row r="170" spans="1:15" ht="16" x14ac:dyDescent="0.2">
      <c r="A170" s="280">
        <v>46037</v>
      </c>
      <c r="B170" s="100" t="s">
        <v>853</v>
      </c>
      <c r="C170" s="100" t="s">
        <v>855</v>
      </c>
      <c r="D170" s="100"/>
      <c r="E170" s="100"/>
      <c r="F170" s="100"/>
      <c r="G170" s="100" t="s">
        <v>13</v>
      </c>
      <c r="H170" s="297"/>
      <c r="I170" s="298">
        <v>294.14</v>
      </c>
      <c r="J170" s="320"/>
      <c r="K170" s="320"/>
      <c r="L170" s="335">
        <f t="shared" si="36"/>
        <v>294.14</v>
      </c>
      <c r="M170" s="320"/>
      <c r="N170" s="320"/>
      <c r="O170" s="292"/>
    </row>
    <row r="171" spans="1:15" ht="16" x14ac:dyDescent="0.2">
      <c r="A171" s="280">
        <v>46037</v>
      </c>
      <c r="B171" s="100" t="s">
        <v>853</v>
      </c>
      <c r="C171" s="100" t="s">
        <v>856</v>
      </c>
      <c r="D171" s="100"/>
      <c r="E171" s="100"/>
      <c r="F171" s="100"/>
      <c r="G171" s="100" t="s">
        <v>19</v>
      </c>
      <c r="H171" s="297"/>
      <c r="I171" s="298">
        <v>1.1299999999999999</v>
      </c>
      <c r="J171" s="320"/>
      <c r="K171" s="320"/>
      <c r="L171" s="320"/>
      <c r="M171" s="335">
        <f>I171</f>
        <v>1.1299999999999999</v>
      </c>
      <c r="N171" s="320"/>
      <c r="O171" s="292"/>
    </row>
    <row r="172" spans="1:15" ht="16" x14ac:dyDescent="0.2">
      <c r="A172" s="280">
        <v>46037</v>
      </c>
      <c r="B172" s="100" t="s">
        <v>852</v>
      </c>
      <c r="C172" s="100" t="s">
        <v>857</v>
      </c>
      <c r="D172" s="100"/>
      <c r="E172" s="100"/>
      <c r="F172" s="100"/>
      <c r="G172" s="100" t="s">
        <v>17</v>
      </c>
      <c r="H172" s="297"/>
      <c r="I172" s="298">
        <v>31.5</v>
      </c>
      <c r="J172" s="320"/>
      <c r="K172" s="320"/>
      <c r="L172" s="335">
        <f t="shared" ref="L172:L174" si="37">I172</f>
        <v>31.5</v>
      </c>
      <c r="M172" s="320"/>
      <c r="N172" s="320"/>
      <c r="O172" s="292"/>
    </row>
    <row r="173" spans="1:15" ht="16" x14ac:dyDescent="0.2">
      <c r="A173" s="280">
        <v>46037</v>
      </c>
      <c r="B173" s="100" t="s">
        <v>853</v>
      </c>
      <c r="C173" s="100" t="s">
        <v>857</v>
      </c>
      <c r="D173" s="100"/>
      <c r="E173" s="100"/>
      <c r="F173" s="100"/>
      <c r="G173" s="100" t="s">
        <v>17</v>
      </c>
      <c r="H173" s="297"/>
      <c r="I173" s="298">
        <v>126.06</v>
      </c>
      <c r="J173" s="320"/>
      <c r="K173" s="320"/>
      <c r="L173" s="335">
        <f t="shared" si="37"/>
        <v>126.06</v>
      </c>
      <c r="M173" s="320"/>
      <c r="N173" s="320"/>
      <c r="O173" s="292"/>
    </row>
    <row r="174" spans="1:15" ht="16" x14ac:dyDescent="0.2">
      <c r="A174" s="280">
        <v>46037</v>
      </c>
      <c r="B174" s="100" t="s">
        <v>760</v>
      </c>
      <c r="C174" s="100" t="s">
        <v>858</v>
      </c>
      <c r="D174" s="100"/>
      <c r="E174" s="100"/>
      <c r="F174" s="100"/>
      <c r="G174" s="100" t="s">
        <v>624</v>
      </c>
      <c r="H174" s="297"/>
      <c r="I174" s="298">
        <v>16.23</v>
      </c>
      <c r="J174" s="320"/>
      <c r="K174" s="320"/>
      <c r="L174" s="335">
        <f t="shared" si="37"/>
        <v>16.23</v>
      </c>
      <c r="M174" s="335"/>
      <c r="N174" s="320"/>
      <c r="O174" s="292"/>
    </row>
    <row r="175" spans="1:15" ht="16" x14ac:dyDescent="0.2">
      <c r="A175" s="280">
        <v>46041</v>
      </c>
      <c r="B175" s="100" t="s">
        <v>545</v>
      </c>
      <c r="C175" s="100" t="s">
        <v>611</v>
      </c>
      <c r="D175" s="100">
        <v>474199235</v>
      </c>
      <c r="E175" s="100" t="s">
        <v>106</v>
      </c>
      <c r="F175" s="100"/>
      <c r="G175" s="100" t="s">
        <v>27</v>
      </c>
      <c r="H175" s="297"/>
      <c r="I175" s="298">
        <v>4.25</v>
      </c>
      <c r="J175" s="320"/>
      <c r="K175" s="320"/>
      <c r="L175" s="320"/>
      <c r="M175" s="335">
        <f t="shared" ref="M175:M179" si="38">I175</f>
        <v>4.25</v>
      </c>
      <c r="N175" s="320"/>
      <c r="O175" s="292"/>
    </row>
    <row r="176" spans="1:15" ht="16" x14ac:dyDescent="0.2">
      <c r="A176" s="280">
        <v>46042</v>
      </c>
      <c r="B176" s="100" t="s">
        <v>859</v>
      </c>
      <c r="C176" s="100" t="s">
        <v>860</v>
      </c>
      <c r="D176" s="100">
        <v>9068</v>
      </c>
      <c r="E176" s="100" t="s">
        <v>106</v>
      </c>
      <c r="F176" s="100"/>
      <c r="G176" s="100" t="s">
        <v>61</v>
      </c>
      <c r="H176" s="297"/>
      <c r="I176" s="298">
        <v>45.6</v>
      </c>
      <c r="J176" s="320"/>
      <c r="K176" s="320"/>
      <c r="L176" s="320"/>
      <c r="M176" s="335">
        <f t="shared" si="38"/>
        <v>45.6</v>
      </c>
      <c r="N176" s="320"/>
      <c r="O176" s="292"/>
    </row>
    <row r="177" spans="1:15" ht="16" x14ac:dyDescent="0.2">
      <c r="A177" s="280">
        <v>46045</v>
      </c>
      <c r="B177" s="100" t="s">
        <v>96</v>
      </c>
      <c r="C177" s="100" t="s">
        <v>861</v>
      </c>
      <c r="D177" s="100">
        <v>9647235</v>
      </c>
      <c r="E177" s="100" t="s">
        <v>106</v>
      </c>
      <c r="F177" s="100"/>
      <c r="G177" s="100" t="s">
        <v>48</v>
      </c>
      <c r="H177" s="297"/>
      <c r="I177" s="298">
        <v>153.51</v>
      </c>
      <c r="J177" s="320"/>
      <c r="K177" s="320"/>
      <c r="L177" s="320"/>
      <c r="M177" s="335">
        <f t="shared" si="38"/>
        <v>153.51</v>
      </c>
      <c r="N177" s="320"/>
      <c r="O177" s="292"/>
    </row>
    <row r="178" spans="1:15" ht="32" x14ac:dyDescent="0.2">
      <c r="A178" s="280">
        <v>46058</v>
      </c>
      <c r="B178" s="100" t="s">
        <v>790</v>
      </c>
      <c r="C178" s="100" t="s">
        <v>862</v>
      </c>
      <c r="D178" s="100">
        <v>9363</v>
      </c>
      <c r="E178" s="100" t="s">
        <v>106</v>
      </c>
      <c r="F178" s="100"/>
      <c r="G178" s="100" t="s">
        <v>53</v>
      </c>
      <c r="H178" s="297"/>
      <c r="I178" s="298">
        <v>1384.8</v>
      </c>
      <c r="J178" s="320"/>
      <c r="K178" s="320"/>
      <c r="L178" s="320"/>
      <c r="M178" s="335">
        <f t="shared" si="38"/>
        <v>1384.8</v>
      </c>
      <c r="N178" s="320"/>
      <c r="O178" s="292"/>
    </row>
    <row r="179" spans="1:15" ht="16" x14ac:dyDescent="0.2">
      <c r="A179" s="280">
        <v>46058</v>
      </c>
      <c r="B179" s="100" t="s">
        <v>863</v>
      </c>
      <c r="C179" s="100" t="s">
        <v>864</v>
      </c>
      <c r="D179" s="100">
        <v>2092</v>
      </c>
      <c r="E179" s="100" t="s">
        <v>106</v>
      </c>
      <c r="F179" s="100"/>
      <c r="G179" s="100" t="s">
        <v>163</v>
      </c>
      <c r="H179" s="297"/>
      <c r="I179" s="298">
        <v>48</v>
      </c>
      <c r="J179" s="320"/>
      <c r="K179" s="320"/>
      <c r="L179" s="320"/>
      <c r="M179" s="335">
        <f t="shared" si="38"/>
        <v>48</v>
      </c>
      <c r="N179" s="320"/>
      <c r="O179" s="292"/>
    </row>
    <row r="180" spans="1:15" ht="16" x14ac:dyDescent="0.2">
      <c r="A180" s="280">
        <v>46069</v>
      </c>
      <c r="B180" s="100" t="s">
        <v>866</v>
      </c>
      <c r="C180" s="100" t="s">
        <v>869</v>
      </c>
      <c r="D180" s="100"/>
      <c r="E180" s="100"/>
      <c r="F180" s="100"/>
      <c r="G180" s="100" t="s">
        <v>13</v>
      </c>
      <c r="H180" s="297"/>
      <c r="I180" s="298">
        <v>109.88</v>
      </c>
      <c r="J180" s="320"/>
      <c r="K180" s="320"/>
      <c r="L180" s="335">
        <f t="shared" ref="L180:L182" si="39">I180</f>
        <v>109.88</v>
      </c>
      <c r="M180" s="320"/>
      <c r="N180" s="320"/>
      <c r="O180" s="292"/>
    </row>
    <row r="181" spans="1:15" ht="16" x14ac:dyDescent="0.2">
      <c r="A181" s="280">
        <v>46069</v>
      </c>
      <c r="B181" s="100" t="s">
        <v>867</v>
      </c>
      <c r="C181" s="100" t="s">
        <v>869</v>
      </c>
      <c r="D181" s="100"/>
      <c r="E181" s="100"/>
      <c r="F181" s="100"/>
      <c r="G181" s="100" t="s">
        <v>13</v>
      </c>
      <c r="H181" s="297"/>
      <c r="I181" s="298">
        <v>294.08999999999997</v>
      </c>
      <c r="J181" s="320"/>
      <c r="K181" s="320"/>
      <c r="L181" s="335">
        <f t="shared" si="39"/>
        <v>294.08999999999997</v>
      </c>
      <c r="M181" s="320"/>
      <c r="N181" s="320"/>
      <c r="O181" s="292"/>
    </row>
    <row r="182" spans="1:15" ht="16" x14ac:dyDescent="0.2">
      <c r="A182" s="280">
        <v>46069</v>
      </c>
      <c r="B182" s="100" t="s">
        <v>867</v>
      </c>
      <c r="C182" s="100" t="s">
        <v>872</v>
      </c>
      <c r="D182" s="100"/>
      <c r="E182" s="100"/>
      <c r="F182" s="100"/>
      <c r="G182" s="100" t="s">
        <v>15</v>
      </c>
      <c r="H182" s="297"/>
      <c r="I182" s="298">
        <v>145.30000000000001</v>
      </c>
      <c r="J182" s="320"/>
      <c r="K182" s="320"/>
      <c r="L182" s="335">
        <f t="shared" si="39"/>
        <v>145.30000000000001</v>
      </c>
      <c r="M182" s="320"/>
      <c r="N182" s="320"/>
      <c r="O182" s="292"/>
    </row>
    <row r="183" spans="1:15" ht="16" x14ac:dyDescent="0.2">
      <c r="A183" s="280">
        <v>46069</v>
      </c>
      <c r="B183" s="100" t="s">
        <v>867</v>
      </c>
      <c r="C183" s="100" t="s">
        <v>870</v>
      </c>
      <c r="D183" s="100"/>
      <c r="E183" s="100"/>
      <c r="F183" s="100"/>
      <c r="G183" s="100" t="s">
        <v>19</v>
      </c>
      <c r="H183" s="297"/>
      <c r="I183" s="298">
        <v>1.1299999999999999</v>
      </c>
      <c r="J183" s="320"/>
      <c r="K183" s="320"/>
      <c r="L183" s="320"/>
      <c r="M183" s="335">
        <f>I183</f>
        <v>1.1299999999999999</v>
      </c>
      <c r="N183" s="320"/>
      <c r="O183" s="292"/>
    </row>
    <row r="184" spans="1:15" ht="16" x14ac:dyDescent="0.2">
      <c r="A184" s="280">
        <v>46069</v>
      </c>
      <c r="B184" s="100" t="s">
        <v>866</v>
      </c>
      <c r="C184" s="100" t="s">
        <v>871</v>
      </c>
      <c r="D184" s="100"/>
      <c r="E184" s="100"/>
      <c r="F184" s="100"/>
      <c r="G184" s="100" t="s">
        <v>17</v>
      </c>
      <c r="H184" s="297"/>
      <c r="I184" s="298">
        <v>31.52</v>
      </c>
      <c r="J184" s="320"/>
      <c r="K184" s="320"/>
      <c r="L184" s="335">
        <f t="shared" ref="L184:L186" si="40">I184</f>
        <v>31.52</v>
      </c>
      <c r="M184" s="320"/>
      <c r="N184" s="320"/>
      <c r="O184" s="292"/>
    </row>
    <row r="185" spans="1:15" ht="16" x14ac:dyDescent="0.2">
      <c r="A185" s="280">
        <v>46069</v>
      </c>
      <c r="B185" s="100" t="s">
        <v>867</v>
      </c>
      <c r="C185" s="100" t="s">
        <v>871</v>
      </c>
      <c r="D185" s="100"/>
      <c r="E185" s="100"/>
      <c r="F185" s="100"/>
      <c r="G185" s="100" t="s">
        <v>17</v>
      </c>
      <c r="H185" s="297"/>
      <c r="I185" s="298">
        <v>126.04</v>
      </c>
      <c r="J185" s="320"/>
      <c r="K185" s="320"/>
      <c r="L185" s="335">
        <f t="shared" si="40"/>
        <v>126.04</v>
      </c>
      <c r="M185" s="320"/>
      <c r="N185" s="320"/>
      <c r="O185" s="292"/>
    </row>
    <row r="186" spans="1:15" ht="16" x14ac:dyDescent="0.2">
      <c r="A186" s="280">
        <v>46069</v>
      </c>
      <c r="B186" s="100" t="s">
        <v>760</v>
      </c>
      <c r="C186" s="100" t="s">
        <v>868</v>
      </c>
      <c r="D186" s="100"/>
      <c r="E186" s="100"/>
      <c r="F186" s="100"/>
      <c r="G186" s="100" t="s">
        <v>624</v>
      </c>
      <c r="H186" s="297"/>
      <c r="I186" s="298">
        <v>43.47</v>
      </c>
      <c r="J186" s="320"/>
      <c r="K186" s="320"/>
      <c r="L186" s="335">
        <f t="shared" si="40"/>
        <v>43.47</v>
      </c>
      <c r="M186" s="335"/>
      <c r="N186" s="320"/>
      <c r="O186" s="292"/>
    </row>
    <row r="187" spans="1:15" ht="16" x14ac:dyDescent="0.2">
      <c r="A187" s="280">
        <v>46069</v>
      </c>
      <c r="B187" s="100" t="s">
        <v>873</v>
      </c>
      <c r="C187" s="100" t="s">
        <v>874</v>
      </c>
      <c r="D187" s="100"/>
      <c r="E187" s="100"/>
      <c r="F187" s="100"/>
      <c r="G187" s="100" t="s">
        <v>23</v>
      </c>
      <c r="H187" s="297"/>
      <c r="I187" s="298">
        <v>877.49</v>
      </c>
      <c r="J187" s="320"/>
      <c r="K187" s="320"/>
      <c r="L187" s="320"/>
      <c r="M187" s="335">
        <f t="shared" ref="M187:M191" si="41">I187</f>
        <v>877.49</v>
      </c>
      <c r="N187" s="320"/>
      <c r="O187" s="292"/>
    </row>
    <row r="188" spans="1:15" ht="16" x14ac:dyDescent="0.2">
      <c r="A188" s="280">
        <v>46070</v>
      </c>
      <c r="B188" s="100" t="s">
        <v>545</v>
      </c>
      <c r="C188" s="100" t="s">
        <v>611</v>
      </c>
      <c r="D188" s="100">
        <v>476686970</v>
      </c>
      <c r="E188" s="100" t="s">
        <v>106</v>
      </c>
      <c r="F188" s="100"/>
      <c r="G188" s="100" t="s">
        <v>27</v>
      </c>
      <c r="H188" s="297"/>
      <c r="I188" s="298">
        <v>4.25</v>
      </c>
      <c r="J188" s="320"/>
      <c r="K188" s="320"/>
      <c r="L188" s="320"/>
      <c r="M188" s="335">
        <f t="shared" si="41"/>
        <v>4.25</v>
      </c>
      <c r="N188" s="320"/>
      <c r="O188" s="292"/>
    </row>
    <row r="189" spans="1:15" ht="16" x14ac:dyDescent="0.2">
      <c r="A189" s="280">
        <v>46077</v>
      </c>
      <c r="B189" s="100" t="s">
        <v>863</v>
      </c>
      <c r="C189" s="100" t="s">
        <v>864</v>
      </c>
      <c r="D189" s="100">
        <v>2119</v>
      </c>
      <c r="E189" s="100" t="s">
        <v>106</v>
      </c>
      <c r="F189" s="100"/>
      <c r="G189" s="100" t="s">
        <v>163</v>
      </c>
      <c r="H189" s="297"/>
      <c r="I189" s="298">
        <v>36</v>
      </c>
      <c r="J189" s="320"/>
      <c r="K189" s="320"/>
      <c r="L189" s="320"/>
      <c r="M189" s="335">
        <f t="shared" si="41"/>
        <v>36</v>
      </c>
      <c r="N189" s="320"/>
      <c r="O189" s="292"/>
    </row>
    <row r="190" spans="1:15" ht="32" x14ac:dyDescent="0.2">
      <c r="A190" s="280">
        <v>46090</v>
      </c>
      <c r="B190" s="100" t="s">
        <v>541</v>
      </c>
      <c r="C190" s="100" t="s">
        <v>875</v>
      </c>
      <c r="D190" s="100">
        <v>46087</v>
      </c>
      <c r="E190" s="100" t="s">
        <v>106</v>
      </c>
      <c r="F190" s="100"/>
      <c r="G190" s="100" t="s">
        <v>148</v>
      </c>
      <c r="H190" s="297"/>
      <c r="I190" s="298">
        <v>80</v>
      </c>
      <c r="J190" s="320"/>
      <c r="K190" s="320"/>
      <c r="L190" s="320"/>
      <c r="M190" s="335">
        <f t="shared" si="41"/>
        <v>80</v>
      </c>
      <c r="N190" s="320"/>
      <c r="O190" s="292"/>
    </row>
    <row r="191" spans="1:15" ht="16" x14ac:dyDescent="0.2">
      <c r="A191" s="280">
        <v>46090</v>
      </c>
      <c r="B191" s="100" t="s">
        <v>541</v>
      </c>
      <c r="C191" s="100" t="s">
        <v>876</v>
      </c>
      <c r="D191" s="100" t="s">
        <v>877</v>
      </c>
      <c r="E191" s="100" t="s">
        <v>106</v>
      </c>
      <c r="F191" s="100"/>
      <c r="G191" s="100" t="s">
        <v>148</v>
      </c>
      <c r="H191" s="297"/>
      <c r="I191" s="298">
        <v>146.68</v>
      </c>
      <c r="J191" s="320"/>
      <c r="K191" s="320"/>
      <c r="L191" s="320"/>
      <c r="M191" s="335">
        <f t="shared" si="41"/>
        <v>146.68</v>
      </c>
      <c r="N191" s="320"/>
      <c r="O191" s="292"/>
    </row>
    <row r="192" spans="1:15" ht="16" x14ac:dyDescent="0.2">
      <c r="A192" s="280">
        <v>46097</v>
      </c>
      <c r="B192" s="100" t="s">
        <v>878</v>
      </c>
      <c r="C192" s="100" t="s">
        <v>880</v>
      </c>
      <c r="D192" s="100"/>
      <c r="E192" s="100"/>
      <c r="F192" s="100"/>
      <c r="G192" s="100" t="s">
        <v>13</v>
      </c>
      <c r="H192" s="297"/>
      <c r="I192" s="298">
        <v>73.5</v>
      </c>
      <c r="J192" s="320"/>
      <c r="K192" s="320"/>
      <c r="L192" s="335">
        <f t="shared" ref="L192:L193" si="42">I192</f>
        <v>73.5</v>
      </c>
      <c r="M192" s="320"/>
      <c r="N192" s="320"/>
      <c r="O192" s="292"/>
    </row>
    <row r="193" spans="1:18" ht="16" x14ac:dyDescent="0.2">
      <c r="A193" s="280">
        <v>46097</v>
      </c>
      <c r="B193" s="100" t="s">
        <v>879</v>
      </c>
      <c r="C193" s="100" t="s">
        <v>880</v>
      </c>
      <c r="D193" s="100"/>
      <c r="E193" s="100"/>
      <c r="F193" s="100"/>
      <c r="G193" s="100" t="s">
        <v>13</v>
      </c>
      <c r="H193" s="297"/>
      <c r="I193" s="298">
        <v>294.14</v>
      </c>
      <c r="J193" s="320"/>
      <c r="K193" s="320"/>
      <c r="L193" s="335">
        <f t="shared" si="42"/>
        <v>294.14</v>
      </c>
      <c r="M193" s="320"/>
      <c r="N193" s="320"/>
      <c r="O193" s="292"/>
    </row>
    <row r="194" spans="1:18" ht="16" x14ac:dyDescent="0.2">
      <c r="A194" s="280">
        <v>46097</v>
      </c>
      <c r="B194" s="100" t="s">
        <v>879</v>
      </c>
      <c r="C194" s="100" t="s">
        <v>881</v>
      </c>
      <c r="D194" s="100"/>
      <c r="E194" s="100"/>
      <c r="F194" s="100"/>
      <c r="G194" s="100" t="s">
        <v>19</v>
      </c>
      <c r="H194" s="297"/>
      <c r="I194" s="298">
        <v>2.25</v>
      </c>
      <c r="J194" s="320"/>
      <c r="K194" s="320"/>
      <c r="L194" s="320"/>
      <c r="M194" s="335">
        <f>I194</f>
        <v>2.25</v>
      </c>
      <c r="N194" s="320"/>
      <c r="O194" s="292"/>
    </row>
    <row r="195" spans="1:18" ht="16" x14ac:dyDescent="0.2">
      <c r="A195" s="280">
        <v>46097</v>
      </c>
      <c r="B195" s="100" t="s">
        <v>878</v>
      </c>
      <c r="C195" s="100" t="s">
        <v>882</v>
      </c>
      <c r="D195" s="100"/>
      <c r="E195" s="100"/>
      <c r="F195" s="100"/>
      <c r="G195" s="100" t="s">
        <v>17</v>
      </c>
      <c r="H195" s="297"/>
      <c r="I195" s="298">
        <v>31.5</v>
      </c>
      <c r="J195" s="320"/>
      <c r="K195" s="320"/>
      <c r="L195" s="335">
        <f t="shared" ref="L195:L197" si="43">I195</f>
        <v>31.5</v>
      </c>
      <c r="M195" s="320"/>
      <c r="N195" s="320"/>
      <c r="O195" s="292"/>
    </row>
    <row r="196" spans="1:18" ht="16" x14ac:dyDescent="0.2">
      <c r="A196" s="280">
        <v>46097</v>
      </c>
      <c r="B196" s="100" t="s">
        <v>879</v>
      </c>
      <c r="C196" s="100" t="s">
        <v>882</v>
      </c>
      <c r="D196" s="100"/>
      <c r="E196" s="100"/>
      <c r="F196" s="100"/>
      <c r="G196" s="100" t="s">
        <v>17</v>
      </c>
      <c r="H196" s="297"/>
      <c r="I196" s="298">
        <v>126.06</v>
      </c>
      <c r="J196" s="320"/>
      <c r="K196" s="320"/>
      <c r="L196" s="335">
        <f t="shared" si="43"/>
        <v>126.06</v>
      </c>
      <c r="M196" s="320"/>
      <c r="N196" s="320"/>
      <c r="O196" s="292"/>
    </row>
    <row r="197" spans="1:18" ht="16" x14ac:dyDescent="0.2">
      <c r="A197" s="280">
        <v>46097</v>
      </c>
      <c r="B197" s="100" t="s">
        <v>760</v>
      </c>
      <c r="C197" s="100" t="s">
        <v>883</v>
      </c>
      <c r="D197" s="100"/>
      <c r="E197" s="100"/>
      <c r="F197" s="100"/>
      <c r="G197" s="100" t="s">
        <v>624</v>
      </c>
      <c r="H197" s="297"/>
      <c r="I197" s="298">
        <v>16.23</v>
      </c>
      <c r="J197" s="320"/>
      <c r="K197" s="320"/>
      <c r="L197" s="335">
        <f t="shared" si="43"/>
        <v>16.23</v>
      </c>
      <c r="M197" s="335"/>
      <c r="N197" s="320"/>
      <c r="O197" s="292"/>
    </row>
    <row r="198" spans="1:18" ht="16" x14ac:dyDescent="0.2">
      <c r="A198" s="280">
        <v>46097</v>
      </c>
      <c r="B198" s="100" t="s">
        <v>328</v>
      </c>
      <c r="C198" s="100" t="s">
        <v>884</v>
      </c>
      <c r="D198" s="100"/>
      <c r="E198" s="100" t="s">
        <v>106</v>
      </c>
      <c r="F198" s="100"/>
      <c r="G198" s="100" t="s">
        <v>19</v>
      </c>
      <c r="H198" s="297"/>
      <c r="I198" s="298">
        <v>5.96</v>
      </c>
      <c r="J198" s="320"/>
      <c r="K198" s="320"/>
      <c r="L198" s="320"/>
      <c r="M198" s="335">
        <f t="shared" ref="M198:M201" si="44">I198</f>
        <v>5.96</v>
      </c>
      <c r="N198" s="320"/>
      <c r="O198" s="292"/>
    </row>
    <row r="199" spans="1:18" ht="16" x14ac:dyDescent="0.2">
      <c r="A199" s="280">
        <v>46097</v>
      </c>
      <c r="B199" s="100" t="s">
        <v>528</v>
      </c>
      <c r="C199" s="100" t="s">
        <v>885</v>
      </c>
      <c r="D199" s="100"/>
      <c r="E199" s="100" t="s">
        <v>106</v>
      </c>
      <c r="F199" s="100"/>
      <c r="G199" s="100" t="s">
        <v>148</v>
      </c>
      <c r="H199" s="297"/>
      <c r="I199" s="298">
        <v>5.99</v>
      </c>
      <c r="J199" s="320"/>
      <c r="K199" s="320"/>
      <c r="L199" s="320"/>
      <c r="M199" s="335">
        <f t="shared" si="44"/>
        <v>5.99</v>
      </c>
      <c r="N199" s="320"/>
      <c r="O199" s="292"/>
    </row>
    <row r="200" spans="1:18" ht="16" x14ac:dyDescent="0.2">
      <c r="A200" s="280">
        <v>46098</v>
      </c>
      <c r="B200" s="100" t="s">
        <v>545</v>
      </c>
      <c r="C200" s="100" t="s">
        <v>611</v>
      </c>
      <c r="D200" s="100">
        <v>479153693</v>
      </c>
      <c r="E200" s="100" t="s">
        <v>106</v>
      </c>
      <c r="G200" s="100" t="s">
        <v>27</v>
      </c>
      <c r="H200" s="297"/>
      <c r="I200" s="298">
        <v>4.25</v>
      </c>
      <c r="J200" s="320"/>
      <c r="K200" s="320"/>
      <c r="L200" s="320"/>
      <c r="M200" s="335">
        <f t="shared" si="44"/>
        <v>4.25</v>
      </c>
      <c r="N200" s="320"/>
      <c r="O200" s="292"/>
    </row>
    <row r="201" spans="1:18" s="333" customFormat="1" ht="16" x14ac:dyDescent="0.2">
      <c r="A201" s="328">
        <v>46100</v>
      </c>
      <c r="B201" s="329" t="s">
        <v>93</v>
      </c>
      <c r="C201" s="329" t="s">
        <v>915</v>
      </c>
      <c r="D201" s="329">
        <v>603601499</v>
      </c>
      <c r="E201" s="329" t="s">
        <v>106</v>
      </c>
      <c r="F201" s="329"/>
      <c r="G201" s="329" t="s">
        <v>60</v>
      </c>
      <c r="H201" s="330"/>
      <c r="I201" s="331">
        <v>494.2</v>
      </c>
      <c r="J201" s="336"/>
      <c r="K201" s="336"/>
      <c r="L201" s="336"/>
      <c r="M201" s="337">
        <f t="shared" si="44"/>
        <v>494.2</v>
      </c>
      <c r="N201" s="336"/>
      <c r="O201" s="332"/>
      <c r="P201" s="329"/>
      <c r="Q201" s="329"/>
      <c r="R201" s="329"/>
    </row>
    <row r="202" spans="1:18" x14ac:dyDescent="0.2">
      <c r="A202" s="166">
        <v>46122</v>
      </c>
      <c r="B202" s="189" t="s">
        <v>119</v>
      </c>
      <c r="C202" s="253" t="s">
        <v>919</v>
      </c>
      <c r="D202" s="233" t="s">
        <v>239</v>
      </c>
      <c r="E202" s="190" t="s">
        <v>106</v>
      </c>
      <c r="F202" s="277" t="s">
        <v>886</v>
      </c>
      <c r="G202" s="189" t="s">
        <v>4</v>
      </c>
      <c r="H202" s="321">
        <v>13750</v>
      </c>
      <c r="I202" s="322"/>
      <c r="J202" s="346">
        <f>H202</f>
        <v>13750</v>
      </c>
      <c r="K202" s="335"/>
      <c r="L202" s="320"/>
      <c r="M202" s="320"/>
      <c r="N202" s="320"/>
      <c r="O202" s="292"/>
    </row>
    <row r="203" spans="1:18" x14ac:dyDescent="0.2">
      <c r="A203" s="166">
        <v>46125</v>
      </c>
      <c r="B203" s="189" t="s">
        <v>930</v>
      </c>
      <c r="C203" s="253" t="s">
        <v>934</v>
      </c>
      <c r="D203" s="233"/>
      <c r="E203" s="214"/>
      <c r="F203" s="215"/>
      <c r="G203" s="189" t="s">
        <v>13</v>
      </c>
      <c r="H203" s="321"/>
      <c r="I203" s="323">
        <v>73.5</v>
      </c>
      <c r="J203" s="320"/>
      <c r="K203" s="335"/>
      <c r="L203" s="338">
        <f>I203</f>
        <v>73.5</v>
      </c>
      <c r="M203" s="320"/>
      <c r="N203" s="320"/>
      <c r="O203" s="320"/>
    </row>
    <row r="204" spans="1:18" x14ac:dyDescent="0.2">
      <c r="A204" s="166">
        <v>46125</v>
      </c>
      <c r="B204" s="189" t="s">
        <v>931</v>
      </c>
      <c r="C204" s="253" t="s">
        <v>934</v>
      </c>
      <c r="D204" s="233"/>
      <c r="E204" s="214"/>
      <c r="F204" s="215"/>
      <c r="G204" s="189" t="s">
        <v>13</v>
      </c>
      <c r="H204" s="321"/>
      <c r="I204" s="323">
        <v>294.14</v>
      </c>
      <c r="J204" s="320"/>
      <c r="K204" s="320"/>
      <c r="L204" s="338">
        <f t="shared" ref="L204:L208" si="45">I204</f>
        <v>294.14</v>
      </c>
      <c r="M204" s="320"/>
      <c r="N204" s="320"/>
      <c r="O204" s="320"/>
    </row>
    <row r="205" spans="1:18" x14ac:dyDescent="0.15">
      <c r="A205" s="166">
        <v>46125</v>
      </c>
      <c r="B205" s="167" t="s">
        <v>931</v>
      </c>
      <c r="C205" s="253" t="s">
        <v>379</v>
      </c>
      <c r="D205" s="233"/>
      <c r="E205" s="190"/>
      <c r="F205" s="189"/>
      <c r="G205" s="189" t="s">
        <v>19</v>
      </c>
      <c r="H205" s="321"/>
      <c r="I205" s="323">
        <v>14.18</v>
      </c>
      <c r="J205" s="341"/>
      <c r="K205" s="341"/>
      <c r="L205" s="338"/>
      <c r="M205" s="339">
        <f>I205</f>
        <v>14.18</v>
      </c>
      <c r="N205" s="320"/>
      <c r="O205" s="320"/>
    </row>
    <row r="206" spans="1:18" x14ac:dyDescent="0.15">
      <c r="A206" s="166">
        <v>46125</v>
      </c>
      <c r="B206" s="167" t="s">
        <v>932</v>
      </c>
      <c r="C206" s="253" t="s">
        <v>935</v>
      </c>
      <c r="D206" s="233"/>
      <c r="E206" s="190"/>
      <c r="F206" s="189"/>
      <c r="G206" s="189" t="s">
        <v>17</v>
      </c>
      <c r="H206" s="321"/>
      <c r="I206" s="323">
        <v>31.5</v>
      </c>
      <c r="J206" s="340"/>
      <c r="K206" s="340"/>
      <c r="L206" s="338">
        <f t="shared" si="45"/>
        <v>31.5</v>
      </c>
      <c r="M206" s="340"/>
      <c r="N206" s="320"/>
      <c r="O206" s="292"/>
    </row>
    <row r="207" spans="1:18" x14ac:dyDescent="0.15">
      <c r="A207" s="166">
        <v>46125</v>
      </c>
      <c r="B207" s="167" t="s">
        <v>931</v>
      </c>
      <c r="C207" s="253" t="s">
        <v>935</v>
      </c>
      <c r="D207" s="233"/>
      <c r="E207" s="190"/>
      <c r="F207" s="189"/>
      <c r="G207" s="189" t="s">
        <v>17</v>
      </c>
      <c r="H207" s="321"/>
      <c r="I207" s="323">
        <v>126.06</v>
      </c>
      <c r="J207" s="341"/>
      <c r="K207" s="341"/>
      <c r="L207" s="338">
        <f t="shared" si="45"/>
        <v>126.06</v>
      </c>
      <c r="M207" s="341"/>
      <c r="N207" s="320"/>
      <c r="O207" s="292"/>
    </row>
    <row r="208" spans="1:18" x14ac:dyDescent="0.15">
      <c r="A208" s="166">
        <v>46125</v>
      </c>
      <c r="B208" s="189" t="s">
        <v>760</v>
      </c>
      <c r="C208" s="256" t="s">
        <v>933</v>
      </c>
      <c r="D208" s="233"/>
      <c r="E208" s="190"/>
      <c r="F208" s="189"/>
      <c r="G208" s="189" t="s">
        <v>624</v>
      </c>
      <c r="H208" s="321"/>
      <c r="I208" s="376">
        <v>16.23</v>
      </c>
      <c r="J208" s="377"/>
      <c r="K208" s="377"/>
      <c r="L208" s="335">
        <f t="shared" si="45"/>
        <v>16.23</v>
      </c>
      <c r="M208" s="377"/>
      <c r="N208" s="320"/>
      <c r="O208" s="292"/>
    </row>
    <row r="209" spans="1:15" x14ac:dyDescent="0.15">
      <c r="A209" s="166">
        <v>46125</v>
      </c>
      <c r="B209" s="189" t="s">
        <v>922</v>
      </c>
      <c r="C209" s="253" t="s">
        <v>920</v>
      </c>
      <c r="D209" s="233" t="s">
        <v>921</v>
      </c>
      <c r="E209" s="190" t="s">
        <v>106</v>
      </c>
      <c r="F209" s="189"/>
      <c r="G209" s="189" t="s">
        <v>61</v>
      </c>
      <c r="H209" s="321"/>
      <c r="I209" s="322">
        <v>75.180000000000007</v>
      </c>
      <c r="J209" s="341"/>
      <c r="K209" s="341"/>
      <c r="L209" s="341"/>
      <c r="M209" s="378">
        <f t="shared" ref="M209:M214" si="46">I209</f>
        <v>75.180000000000007</v>
      </c>
      <c r="N209" s="320"/>
      <c r="O209" s="292"/>
    </row>
    <row r="210" spans="1:15" x14ac:dyDescent="0.15">
      <c r="A210" s="166">
        <v>46125</v>
      </c>
      <c r="B210" s="189" t="s">
        <v>291</v>
      </c>
      <c r="C210" s="253" t="s">
        <v>923</v>
      </c>
      <c r="D210" s="233">
        <v>9429</v>
      </c>
      <c r="E210" s="190" t="s">
        <v>106</v>
      </c>
      <c r="F210" s="189"/>
      <c r="G210" s="189" t="s">
        <v>53</v>
      </c>
      <c r="H210" s="321"/>
      <c r="I210" s="322">
        <v>492</v>
      </c>
      <c r="J210" s="341"/>
      <c r="K210" s="341"/>
      <c r="L210" s="341"/>
      <c r="M210" s="378">
        <f t="shared" si="46"/>
        <v>492</v>
      </c>
      <c r="N210" s="320"/>
      <c r="O210" s="292"/>
    </row>
    <row r="211" spans="1:15" x14ac:dyDescent="0.15">
      <c r="A211" s="166">
        <v>46125</v>
      </c>
      <c r="B211" s="189" t="s">
        <v>296</v>
      </c>
      <c r="C211" s="253" t="s">
        <v>924</v>
      </c>
      <c r="D211" s="233">
        <v>326</v>
      </c>
      <c r="E211" s="190"/>
      <c r="F211" s="189"/>
      <c r="G211" s="189" t="s">
        <v>44</v>
      </c>
      <c r="H211" s="321"/>
      <c r="I211" s="322">
        <v>101.25</v>
      </c>
      <c r="J211" s="320"/>
      <c r="K211" s="320"/>
      <c r="L211" s="320"/>
      <c r="M211" s="378">
        <f t="shared" si="46"/>
        <v>101.25</v>
      </c>
      <c r="N211" s="320"/>
      <c r="O211" s="292"/>
    </row>
    <row r="212" spans="1:15" x14ac:dyDescent="0.15">
      <c r="A212" s="166">
        <v>46125</v>
      </c>
      <c r="B212" s="189" t="s">
        <v>426</v>
      </c>
      <c r="C212" s="253" t="s">
        <v>925</v>
      </c>
      <c r="D212" s="233" t="s">
        <v>249</v>
      </c>
      <c r="E212" s="190" t="s">
        <v>106</v>
      </c>
      <c r="F212" s="189"/>
      <c r="G212" s="189" t="s">
        <v>477</v>
      </c>
      <c r="H212" s="321"/>
      <c r="I212" s="322">
        <v>4.75</v>
      </c>
      <c r="J212" s="320"/>
      <c r="K212" s="320"/>
      <c r="L212" s="320"/>
      <c r="M212" s="378">
        <f t="shared" si="46"/>
        <v>4.75</v>
      </c>
      <c r="N212" s="320"/>
      <c r="O212" s="292"/>
    </row>
    <row r="213" spans="1:15" x14ac:dyDescent="0.15">
      <c r="A213" s="166">
        <v>46125</v>
      </c>
      <c r="B213" s="189" t="s">
        <v>426</v>
      </c>
      <c r="C213" s="253" t="s">
        <v>926</v>
      </c>
      <c r="D213" s="233" t="s">
        <v>249</v>
      </c>
      <c r="E213" s="190" t="s">
        <v>106</v>
      </c>
      <c r="F213" s="189"/>
      <c r="G213" s="189" t="s">
        <v>61</v>
      </c>
      <c r="H213" s="321"/>
      <c r="I213" s="322">
        <v>7.99</v>
      </c>
      <c r="J213" s="320"/>
      <c r="K213" s="320"/>
      <c r="L213" s="320"/>
      <c r="M213" s="378">
        <f t="shared" si="46"/>
        <v>7.99</v>
      </c>
      <c r="N213" s="320"/>
      <c r="O213" s="292"/>
    </row>
    <row r="214" spans="1:15" ht="28" x14ac:dyDescent="0.15">
      <c r="A214" s="236">
        <v>46127</v>
      </c>
      <c r="B214" s="189" t="s">
        <v>927</v>
      </c>
      <c r="C214" s="253" t="s">
        <v>928</v>
      </c>
      <c r="D214" s="233" t="s">
        <v>929</v>
      </c>
      <c r="E214" s="190"/>
      <c r="F214" s="277" t="s">
        <v>886</v>
      </c>
      <c r="G214" s="189" t="s">
        <v>34</v>
      </c>
      <c r="H214" s="321"/>
      <c r="I214" s="322">
        <v>150</v>
      </c>
      <c r="J214" s="320"/>
      <c r="K214" s="320"/>
      <c r="L214" s="320"/>
      <c r="M214" s="379">
        <f t="shared" si="46"/>
        <v>150</v>
      </c>
      <c r="N214" s="320"/>
      <c r="O214" s="292"/>
    </row>
    <row r="215" spans="1:15" ht="28" x14ac:dyDescent="0.2">
      <c r="A215" s="236">
        <v>46136</v>
      </c>
      <c r="B215" s="189" t="s">
        <v>96</v>
      </c>
      <c r="C215" s="254" t="s">
        <v>938</v>
      </c>
      <c r="D215" s="233">
        <v>10418445</v>
      </c>
      <c r="E215" s="190" t="s">
        <v>106</v>
      </c>
      <c r="F215" s="277" t="s">
        <v>886</v>
      </c>
      <c r="G215" s="189" t="s">
        <v>48</v>
      </c>
      <c r="H215" s="321"/>
      <c r="I215" s="322">
        <v>150.6</v>
      </c>
      <c r="J215" s="320"/>
      <c r="K215" s="320"/>
      <c r="L215" s="320"/>
      <c r="M215" s="346">
        <f>I215</f>
        <v>150.6</v>
      </c>
      <c r="N215" s="320"/>
      <c r="O215" s="292"/>
    </row>
    <row r="216" spans="1:15" x14ac:dyDescent="0.2">
      <c r="A216" s="236">
        <v>46112</v>
      </c>
      <c r="B216" s="189" t="s">
        <v>577</v>
      </c>
      <c r="C216" s="254" t="s">
        <v>939</v>
      </c>
      <c r="D216" s="233">
        <v>17023</v>
      </c>
      <c r="E216" s="190" t="s">
        <v>106</v>
      </c>
      <c r="F216" s="189"/>
      <c r="G216" s="189" t="s">
        <v>50</v>
      </c>
      <c r="H216" s="321"/>
      <c r="I216" s="322">
        <v>1041.08</v>
      </c>
      <c r="J216" s="320"/>
      <c r="K216" s="320"/>
      <c r="L216" s="320"/>
      <c r="M216" s="338">
        <f t="shared" ref="M216:M226" si="47">I216</f>
        <v>1041.08</v>
      </c>
      <c r="N216" s="320"/>
      <c r="O216" s="292"/>
    </row>
    <row r="217" spans="1:15" x14ac:dyDescent="0.2">
      <c r="A217" s="236">
        <v>46113</v>
      </c>
      <c r="B217" s="189" t="s">
        <v>94</v>
      </c>
      <c r="C217" s="253" t="s">
        <v>940</v>
      </c>
      <c r="D217" s="233" t="s">
        <v>941</v>
      </c>
      <c r="E217" s="190" t="s">
        <v>106</v>
      </c>
      <c r="F217" s="277" t="s">
        <v>886</v>
      </c>
      <c r="G217" s="189" t="s">
        <v>30</v>
      </c>
      <c r="H217" s="321"/>
      <c r="I217" s="322">
        <v>313.82</v>
      </c>
      <c r="J217" s="320"/>
      <c r="K217" s="320"/>
      <c r="L217" s="320"/>
      <c r="M217" s="346">
        <f t="shared" si="47"/>
        <v>313.82</v>
      </c>
      <c r="N217" s="320"/>
      <c r="O217" s="292"/>
    </row>
    <row r="218" spans="1:15" x14ac:dyDescent="0.2">
      <c r="A218" s="236">
        <v>46129</v>
      </c>
      <c r="B218" s="189" t="s">
        <v>528</v>
      </c>
      <c r="C218" s="253" t="s">
        <v>942</v>
      </c>
      <c r="D218" s="233" t="s">
        <v>249</v>
      </c>
      <c r="E218" s="190" t="s">
        <v>106</v>
      </c>
      <c r="F218" s="277" t="s">
        <v>886</v>
      </c>
      <c r="G218" s="189" t="s">
        <v>156</v>
      </c>
      <c r="H218" s="321"/>
      <c r="I218" s="322">
        <v>5.95</v>
      </c>
      <c r="J218" s="320"/>
      <c r="K218" s="320"/>
      <c r="L218" s="320"/>
      <c r="M218" s="346">
        <f t="shared" si="47"/>
        <v>5.95</v>
      </c>
      <c r="N218" s="320"/>
      <c r="O218" s="292"/>
    </row>
    <row r="219" spans="1:15" x14ac:dyDescent="0.2">
      <c r="A219" s="236">
        <v>46132</v>
      </c>
      <c r="B219" s="189" t="s">
        <v>33</v>
      </c>
      <c r="C219" s="253" t="s">
        <v>949</v>
      </c>
      <c r="D219" s="233" t="s">
        <v>950</v>
      </c>
      <c r="E219" s="190" t="s">
        <v>106</v>
      </c>
      <c r="F219" s="277" t="s">
        <v>886</v>
      </c>
      <c r="G219" s="189" t="s">
        <v>32</v>
      </c>
      <c r="H219" s="321"/>
      <c r="I219" s="322">
        <v>158</v>
      </c>
      <c r="J219" s="320"/>
      <c r="K219" s="320"/>
      <c r="L219" s="320"/>
      <c r="M219" s="346">
        <f t="shared" si="47"/>
        <v>158</v>
      </c>
      <c r="N219" s="320"/>
      <c r="O219" s="292"/>
    </row>
    <row r="220" spans="1:15" ht="16" x14ac:dyDescent="0.2">
      <c r="A220" s="236">
        <v>46132</v>
      </c>
      <c r="B220" s="189" t="s">
        <v>545</v>
      </c>
      <c r="C220" s="253" t="s">
        <v>611</v>
      </c>
      <c r="D220" s="233">
        <v>481667354</v>
      </c>
      <c r="E220" s="190"/>
      <c r="F220" s="400" t="s">
        <v>886</v>
      </c>
      <c r="G220" s="189" t="s">
        <v>27</v>
      </c>
      <c r="H220" s="321"/>
      <c r="I220" s="322">
        <v>4.25</v>
      </c>
      <c r="J220" s="320"/>
      <c r="K220" s="320"/>
      <c r="L220" s="335"/>
      <c r="M220" s="346">
        <f t="shared" si="47"/>
        <v>4.25</v>
      </c>
      <c r="N220" s="320"/>
      <c r="O220" s="292"/>
    </row>
    <row r="221" spans="1:15" ht="16" x14ac:dyDescent="0.2">
      <c r="A221" s="236">
        <v>46135</v>
      </c>
      <c r="B221" s="189" t="s">
        <v>119</v>
      </c>
      <c r="C221" s="253" t="s">
        <v>1039</v>
      </c>
      <c r="D221" s="233" t="s">
        <v>1040</v>
      </c>
      <c r="E221" s="190"/>
      <c r="F221" s="400" t="s">
        <v>886</v>
      </c>
      <c r="G221" s="189" t="s">
        <v>48</v>
      </c>
      <c r="H221" s="321">
        <v>8.33</v>
      </c>
      <c r="I221" s="322"/>
      <c r="J221" s="320"/>
      <c r="K221" s="346">
        <f>H221</f>
        <v>8.33</v>
      </c>
      <c r="L221" s="335"/>
      <c r="M221" s="338"/>
      <c r="N221" s="320"/>
      <c r="O221" s="292"/>
    </row>
    <row r="222" spans="1:15" ht="28" x14ac:dyDescent="0.2">
      <c r="A222" s="236">
        <v>46136</v>
      </c>
      <c r="B222" s="189" t="s">
        <v>96</v>
      </c>
      <c r="C222" s="254" t="s">
        <v>938</v>
      </c>
      <c r="D222" s="233">
        <v>10418445</v>
      </c>
      <c r="E222" s="190" t="s">
        <v>106</v>
      </c>
      <c r="F222" s="277" t="s">
        <v>886</v>
      </c>
      <c r="G222" s="189" t="s">
        <v>48</v>
      </c>
      <c r="H222" s="321"/>
      <c r="I222" s="322">
        <v>150.6</v>
      </c>
      <c r="J222" s="320"/>
      <c r="K222" s="338"/>
      <c r="L222" s="335"/>
      <c r="M222" s="346">
        <f t="shared" si="47"/>
        <v>150.6</v>
      </c>
      <c r="N222" s="320"/>
      <c r="O222" s="292"/>
    </row>
    <row r="223" spans="1:15" x14ac:dyDescent="0.2">
      <c r="A223" s="236">
        <v>46139</v>
      </c>
      <c r="B223" s="189" t="s">
        <v>119</v>
      </c>
      <c r="C223" s="253" t="s">
        <v>1042</v>
      </c>
      <c r="D223" s="233"/>
      <c r="E223" s="190"/>
      <c r="F223" s="277" t="s">
        <v>886</v>
      </c>
      <c r="G223" s="189" t="s">
        <v>9</v>
      </c>
      <c r="H223" s="321">
        <v>701.78</v>
      </c>
      <c r="I223" s="322"/>
      <c r="J223" s="320"/>
      <c r="K223" s="346">
        <f t="shared" ref="K223:K225" si="48">H223</f>
        <v>701.78</v>
      </c>
      <c r="L223" s="335"/>
      <c r="M223" s="335"/>
      <c r="N223" s="320"/>
      <c r="O223" s="292"/>
    </row>
    <row r="224" spans="1:15" x14ac:dyDescent="0.2">
      <c r="A224" s="236">
        <v>46140</v>
      </c>
      <c r="B224" s="189" t="s">
        <v>119</v>
      </c>
      <c r="C224" s="254" t="s">
        <v>1043</v>
      </c>
      <c r="D224" s="233"/>
      <c r="E224" s="190"/>
      <c r="F224" s="277" t="s">
        <v>886</v>
      </c>
      <c r="G224" s="189" t="s">
        <v>9</v>
      </c>
      <c r="H224" s="321">
        <v>1555</v>
      </c>
      <c r="I224" s="322"/>
      <c r="J224" s="320"/>
      <c r="K224" s="346">
        <f t="shared" si="48"/>
        <v>1555</v>
      </c>
      <c r="L224" s="335"/>
      <c r="M224" s="335"/>
      <c r="N224" s="320"/>
      <c r="O224" s="292"/>
    </row>
    <row r="225" spans="1:16" x14ac:dyDescent="0.2">
      <c r="A225" s="236">
        <v>46142</v>
      </c>
      <c r="B225" s="189" t="s">
        <v>119</v>
      </c>
      <c r="C225" s="253" t="s">
        <v>1045</v>
      </c>
      <c r="D225" s="233" t="s">
        <v>1040</v>
      </c>
      <c r="E225" s="190"/>
      <c r="F225" s="277" t="s">
        <v>886</v>
      </c>
      <c r="G225" s="189" t="s">
        <v>48</v>
      </c>
      <c r="H225" s="321">
        <v>8.33</v>
      </c>
      <c r="I225" s="322"/>
      <c r="J225" s="320"/>
      <c r="K225" s="346">
        <f t="shared" si="48"/>
        <v>8.33</v>
      </c>
      <c r="L225" s="335"/>
      <c r="M225" s="335"/>
      <c r="N225" s="320"/>
      <c r="O225" s="292"/>
    </row>
    <row r="226" spans="1:16" x14ac:dyDescent="0.2">
      <c r="A226" s="236">
        <v>46149</v>
      </c>
      <c r="B226" s="189" t="s">
        <v>1046</v>
      </c>
      <c r="C226" s="254" t="s">
        <v>1047</v>
      </c>
      <c r="D226" s="233">
        <v>2082</v>
      </c>
      <c r="E226" s="190" t="s">
        <v>106</v>
      </c>
      <c r="F226" s="277" t="s">
        <v>886</v>
      </c>
      <c r="G226" s="189" t="s">
        <v>25</v>
      </c>
      <c r="H226" s="321"/>
      <c r="I226" s="322">
        <v>231</v>
      </c>
      <c r="J226" s="320"/>
      <c r="K226" s="320"/>
      <c r="L226" s="335"/>
      <c r="M226" s="346">
        <f t="shared" si="47"/>
        <v>231</v>
      </c>
      <c r="N226" s="320"/>
      <c r="O226" s="292"/>
    </row>
    <row r="227" spans="1:16" ht="16" thickBot="1" x14ac:dyDescent="0.2">
      <c r="A227" s="280"/>
      <c r="B227" s="100"/>
      <c r="C227" s="100"/>
      <c r="D227" s="100"/>
      <c r="E227" s="100"/>
      <c r="F227" s="100"/>
      <c r="G227" s="100"/>
      <c r="H227" s="300"/>
      <c r="I227" s="301"/>
      <c r="J227" s="341"/>
      <c r="K227" s="341"/>
      <c r="L227" s="377"/>
      <c r="M227" s="341"/>
      <c r="N227" s="320"/>
    </row>
    <row r="228" spans="1:16" ht="17" thickTop="1" thickBot="1" x14ac:dyDescent="0.25">
      <c r="A228" s="280"/>
      <c r="B228" s="100"/>
      <c r="C228" s="100"/>
      <c r="D228" s="100"/>
      <c r="E228" s="100"/>
      <c r="F228" s="100"/>
      <c r="G228" s="100"/>
      <c r="H228" s="302">
        <f t="shared" ref="H228:N228" si="49">SUM(H23:H227)</f>
        <v>46178.11</v>
      </c>
      <c r="I228" s="303">
        <f t="shared" si="49"/>
        <v>30756.050000000007</v>
      </c>
      <c r="J228" s="347">
        <f t="shared" si="49"/>
        <v>40250</v>
      </c>
      <c r="K228" s="347">
        <f t="shared" si="49"/>
        <v>5928.11</v>
      </c>
      <c r="L228" s="342">
        <f t="shared" si="49"/>
        <v>6721.4800000000014</v>
      </c>
      <c r="M228" s="342">
        <f t="shared" si="49"/>
        <v>24034.570000000003</v>
      </c>
      <c r="N228" s="342">
        <f t="shared" si="49"/>
        <v>0</v>
      </c>
    </row>
    <row r="229" spans="1:16" ht="16" thickTop="1" x14ac:dyDescent="0.2">
      <c r="A229" s="280"/>
      <c r="B229" s="100"/>
      <c r="C229" s="100"/>
      <c r="D229" s="100"/>
      <c r="E229" s="100"/>
      <c r="F229" s="100"/>
      <c r="G229" s="100"/>
      <c r="H229" s="409" t="s">
        <v>917</v>
      </c>
      <c r="I229" s="410"/>
      <c r="J229" s="335">
        <f>-J202</f>
        <v>-13750</v>
      </c>
      <c r="K229" s="335">
        <f>-K221-K223-K224-K225</f>
        <v>-2273.44</v>
      </c>
      <c r="L229" s="335"/>
      <c r="M229" s="335">
        <f>-M214-M215-M217-M218-M219-M220-M222-M226</f>
        <v>-1164.2200000000003</v>
      </c>
      <c r="N229" s="320"/>
    </row>
    <row r="230" spans="1:16" x14ac:dyDescent="0.15">
      <c r="A230" s="280"/>
      <c r="B230" s="100"/>
      <c r="C230" s="100"/>
      <c r="D230" s="100"/>
      <c r="E230" s="100"/>
      <c r="F230" s="100"/>
      <c r="G230" s="100"/>
      <c r="H230" s="324"/>
      <c r="I230" s="325"/>
    </row>
    <row r="231" spans="1:16" x14ac:dyDescent="0.2">
      <c r="A231" s="280"/>
      <c r="B231" s="100"/>
      <c r="C231" s="100"/>
      <c r="D231" s="100"/>
      <c r="E231" s="100"/>
      <c r="F231" s="100"/>
      <c r="G231" s="100"/>
      <c r="H231" s="411" t="s">
        <v>896</v>
      </c>
      <c r="I231" s="412"/>
      <c r="J231" s="320"/>
      <c r="K231" s="320"/>
      <c r="L231" s="335"/>
      <c r="M231" s="320"/>
      <c r="N231" s="320"/>
      <c r="O231" s="292"/>
    </row>
    <row r="232" spans="1:16" ht="16" thickBot="1" x14ac:dyDescent="0.25">
      <c r="A232" s="280"/>
      <c r="B232" s="100"/>
      <c r="C232" s="100"/>
      <c r="D232" s="100"/>
      <c r="E232" s="100"/>
      <c r="F232" s="100"/>
      <c r="G232" s="100"/>
      <c r="H232" s="326"/>
      <c r="I232" s="326"/>
      <c r="J232" s="343"/>
      <c r="K232" s="343"/>
      <c r="L232" s="381"/>
      <c r="M232" s="343"/>
      <c r="N232" s="343"/>
      <c r="O232" s="327">
        <f>Activity!P23</f>
        <v>15187.070000000003</v>
      </c>
      <c r="P232" s="278" t="s">
        <v>898</v>
      </c>
    </row>
    <row r="233" spans="1:16" ht="17" thickTop="1" thickBot="1" x14ac:dyDescent="0.2">
      <c r="A233" s="307" t="s">
        <v>901</v>
      </c>
      <c r="B233" s="289"/>
      <c r="C233" s="289"/>
      <c r="D233" s="168"/>
      <c r="E233" s="100"/>
      <c r="F233" s="100"/>
      <c r="G233" s="100"/>
      <c r="H233" s="413" t="s">
        <v>897</v>
      </c>
      <c r="I233" s="414"/>
      <c r="J233" s="344">
        <f>J228+J229</f>
        <v>26500</v>
      </c>
      <c r="K233" s="344">
        <f t="shared" ref="K233:N233" si="50">K228+K229</f>
        <v>3654.6699999999996</v>
      </c>
      <c r="L233" s="344">
        <f t="shared" si="50"/>
        <v>6721.4800000000014</v>
      </c>
      <c r="M233" s="344">
        <f t="shared" si="50"/>
        <v>22870.350000000002</v>
      </c>
      <c r="N233" s="344">
        <f t="shared" si="50"/>
        <v>0</v>
      </c>
      <c r="O233" s="291">
        <f>J233+K233-L233-M233</f>
        <v>562.83999999999287</v>
      </c>
      <c r="P233" s="278" t="s">
        <v>899</v>
      </c>
    </row>
    <row r="234" spans="1:16" ht="17" thickTop="1" x14ac:dyDescent="0.15">
      <c r="A234" s="308"/>
      <c r="B234" s="289"/>
      <c r="C234" s="289"/>
      <c r="D234" s="168"/>
      <c r="E234" s="100"/>
      <c r="F234" s="100"/>
      <c r="G234" s="100"/>
      <c r="H234" s="297"/>
      <c r="I234" s="298"/>
      <c r="J234" s="345"/>
      <c r="K234" s="345"/>
      <c r="L234" s="382" t="s">
        <v>1030</v>
      </c>
      <c r="M234" s="345"/>
      <c r="N234" s="345"/>
      <c r="O234" s="291">
        <f>SUM(O232:O233)</f>
        <v>15749.909999999996</v>
      </c>
      <c r="P234" s="278" t="s">
        <v>900</v>
      </c>
    </row>
    <row r="235" spans="1:16" x14ac:dyDescent="0.15">
      <c r="A235" s="309" t="s">
        <v>902</v>
      </c>
      <c r="B235" s="310" t="s">
        <v>903</v>
      </c>
      <c r="C235" s="311"/>
      <c r="D235" s="291">
        <f>O234</f>
        <v>15749.909999999996</v>
      </c>
      <c r="E235" s="100"/>
      <c r="F235" s="100"/>
      <c r="G235" s="100"/>
      <c r="H235" s="297"/>
      <c r="I235" s="298"/>
      <c r="J235" s="320"/>
      <c r="K235" s="320"/>
      <c r="L235" s="335"/>
      <c r="M235" s="320"/>
      <c r="N235" s="320"/>
      <c r="O235" s="292"/>
    </row>
    <row r="236" spans="1:16" x14ac:dyDescent="0.15">
      <c r="A236" s="308"/>
      <c r="B236" s="289"/>
      <c r="C236" s="311"/>
      <c r="D236" s="290"/>
      <c r="E236" s="100"/>
      <c r="F236" s="100"/>
      <c r="G236" s="100"/>
      <c r="H236" s="297"/>
      <c r="I236" s="298"/>
      <c r="J236" s="320"/>
      <c r="K236" s="320"/>
      <c r="L236" s="335"/>
      <c r="M236" s="320"/>
      <c r="N236" s="320"/>
      <c r="O236" s="292"/>
    </row>
    <row r="237" spans="1:16" x14ac:dyDescent="0.15">
      <c r="A237" s="308"/>
      <c r="B237" s="312" t="s">
        <v>904</v>
      </c>
      <c r="C237" s="311"/>
      <c r="D237" s="290"/>
      <c r="E237" s="100"/>
      <c r="F237" s="100"/>
      <c r="G237" s="100"/>
      <c r="H237" s="297"/>
      <c r="I237" s="298"/>
      <c r="J237" s="320"/>
      <c r="K237" s="320"/>
      <c r="L237" s="335"/>
      <c r="M237" s="320"/>
      <c r="N237" s="320"/>
      <c r="O237" s="292"/>
    </row>
    <row r="238" spans="1:16" x14ac:dyDescent="0.15">
      <c r="A238" s="308"/>
      <c r="B238" s="253"/>
      <c r="C238" s="290"/>
      <c r="D238" s="289"/>
      <c r="E238" s="100"/>
      <c r="F238" s="100"/>
      <c r="G238" s="100"/>
      <c r="H238" s="297"/>
      <c r="I238" s="298"/>
      <c r="J238" s="320"/>
      <c r="K238" s="320"/>
      <c r="L238" s="335"/>
      <c r="M238" s="320"/>
      <c r="N238" s="320"/>
      <c r="O238" s="292"/>
    </row>
    <row r="239" spans="1:16" x14ac:dyDescent="0.15">
      <c r="A239" s="308"/>
      <c r="B239" s="166"/>
      <c r="C239" s="313">
        <f>H182</f>
        <v>0</v>
      </c>
      <c r="D239" s="314">
        <f>C238+C239</f>
        <v>0</v>
      </c>
      <c r="E239" s="100"/>
      <c r="F239" s="100"/>
      <c r="G239" s="100"/>
      <c r="H239" s="297"/>
      <c r="I239" s="298"/>
      <c r="J239" s="320"/>
      <c r="K239" s="320"/>
      <c r="L239" s="335"/>
      <c r="M239" s="320"/>
      <c r="N239" s="320"/>
      <c r="O239" s="292"/>
    </row>
    <row r="240" spans="1:16" x14ac:dyDescent="0.15">
      <c r="A240" s="308"/>
      <c r="B240" s="166"/>
      <c r="C240" s="313"/>
      <c r="D240" s="289"/>
      <c r="E240" s="100"/>
      <c r="F240" s="100"/>
      <c r="G240" s="100"/>
      <c r="H240" s="297"/>
      <c r="I240" s="298"/>
      <c r="J240" s="320"/>
      <c r="K240" s="320"/>
      <c r="L240" s="335"/>
      <c r="M240" s="320"/>
      <c r="N240" s="320"/>
      <c r="O240" s="292"/>
    </row>
    <row r="241" spans="1:15" x14ac:dyDescent="0.15">
      <c r="A241" s="308"/>
      <c r="B241" s="289"/>
      <c r="C241" s="311"/>
      <c r="D241" s="290"/>
      <c r="E241" s="100"/>
      <c r="F241" s="100"/>
      <c r="G241" s="100"/>
      <c r="H241" s="297"/>
      <c r="I241" s="298"/>
      <c r="J241" s="320"/>
      <c r="K241" s="320"/>
      <c r="L241" s="335"/>
      <c r="M241" s="320"/>
      <c r="N241" s="320"/>
      <c r="O241" s="292"/>
    </row>
    <row r="242" spans="1:15" x14ac:dyDescent="0.15">
      <c r="A242" s="308"/>
      <c r="B242" s="312" t="s">
        <v>905</v>
      </c>
      <c r="C242" s="311"/>
      <c r="D242" s="290"/>
      <c r="E242" s="100"/>
      <c r="F242" s="100"/>
      <c r="G242" s="100"/>
      <c r="H242" s="297"/>
      <c r="I242" s="298"/>
      <c r="J242" s="320"/>
      <c r="K242" s="320"/>
      <c r="L242" s="335"/>
      <c r="M242" s="320"/>
      <c r="N242" s="320"/>
      <c r="O242" s="292"/>
    </row>
    <row r="243" spans="1:15" x14ac:dyDescent="0.15">
      <c r="A243" s="308"/>
      <c r="B243" s="167" t="s">
        <v>936</v>
      </c>
      <c r="C243" s="290">
        <v>539.38</v>
      </c>
      <c r="D243" s="289"/>
      <c r="E243" s="100"/>
      <c r="F243" s="100"/>
      <c r="G243" s="100"/>
      <c r="H243" s="297"/>
      <c r="I243" s="298"/>
      <c r="J243" s="320"/>
      <c r="K243" s="320"/>
      <c r="L243" s="335"/>
      <c r="M243" s="320"/>
      <c r="N243" s="320"/>
      <c r="O243" s="292"/>
    </row>
    <row r="244" spans="1:15" x14ac:dyDescent="0.15">
      <c r="A244" s="315"/>
      <c r="B244" s="167" t="s">
        <v>937</v>
      </c>
      <c r="C244" s="290">
        <v>16.23</v>
      </c>
      <c r="D244" s="289"/>
      <c r="E244" s="100"/>
      <c r="F244" s="100"/>
      <c r="G244" s="100"/>
      <c r="H244" s="297"/>
      <c r="I244" s="298"/>
      <c r="J244" s="320"/>
      <c r="K244" s="320"/>
      <c r="L244" s="335"/>
      <c r="M244" s="320"/>
      <c r="N244" s="320"/>
      <c r="O244" s="292"/>
    </row>
    <row r="245" spans="1:15" x14ac:dyDescent="0.15">
      <c r="A245" s="315"/>
      <c r="B245" s="189" t="s">
        <v>922</v>
      </c>
      <c r="C245" s="290">
        <v>75.180000000000007</v>
      </c>
      <c r="D245" s="289"/>
      <c r="E245" s="100"/>
      <c r="F245" s="100"/>
      <c r="G245" s="100"/>
      <c r="H245" s="297"/>
      <c r="I245" s="298"/>
      <c r="J245" s="320"/>
      <c r="K245" s="320"/>
      <c r="L245" s="335"/>
      <c r="M245" s="320"/>
      <c r="N245" s="320"/>
      <c r="O245" s="292"/>
    </row>
    <row r="246" spans="1:15" x14ac:dyDescent="0.15">
      <c r="A246" s="315"/>
      <c r="B246" s="189" t="s">
        <v>291</v>
      </c>
      <c r="C246" s="290">
        <v>492</v>
      </c>
      <c r="D246" s="289"/>
      <c r="E246" s="100"/>
      <c r="F246" s="100"/>
      <c r="G246" s="100"/>
      <c r="H246" s="297"/>
      <c r="I246" s="298"/>
      <c r="J246" s="320"/>
      <c r="K246" s="320"/>
      <c r="L246" s="335"/>
      <c r="M246" s="320"/>
      <c r="N246" s="320"/>
      <c r="O246" s="292"/>
    </row>
    <row r="247" spans="1:15" x14ac:dyDescent="0.15">
      <c r="A247" s="315"/>
      <c r="B247" s="189" t="s">
        <v>296</v>
      </c>
      <c r="C247" s="290">
        <v>101.25</v>
      </c>
      <c r="D247" s="289"/>
      <c r="E247" s="100"/>
      <c r="F247" s="100"/>
      <c r="G247" s="100"/>
      <c r="H247" s="297"/>
      <c r="I247" s="298"/>
      <c r="J247" s="320"/>
      <c r="K247" s="320"/>
      <c r="L247" s="335"/>
      <c r="M247" s="320"/>
      <c r="N247" s="320"/>
      <c r="O247" s="292"/>
    </row>
    <row r="248" spans="1:15" x14ac:dyDescent="0.15">
      <c r="A248" s="315"/>
      <c r="B248" s="189" t="s">
        <v>426</v>
      </c>
      <c r="C248" s="290">
        <v>4.75</v>
      </c>
      <c r="D248" s="289"/>
      <c r="E248" s="100"/>
      <c r="F248" s="100"/>
      <c r="G248" s="100"/>
      <c r="H248" s="297"/>
      <c r="I248" s="298"/>
      <c r="J248" s="320"/>
      <c r="K248" s="320"/>
      <c r="L248" s="335"/>
      <c r="M248" s="320"/>
      <c r="N248" s="320"/>
      <c r="O248" s="292"/>
    </row>
    <row r="249" spans="1:15" x14ac:dyDescent="0.15">
      <c r="A249" s="315"/>
      <c r="B249" s="189" t="s">
        <v>426</v>
      </c>
      <c r="C249" s="290">
        <v>7.99</v>
      </c>
      <c r="D249" s="289"/>
      <c r="E249" s="100"/>
      <c r="F249" s="100"/>
      <c r="G249" s="100"/>
      <c r="H249" s="297"/>
      <c r="I249" s="298"/>
      <c r="J249" s="320"/>
      <c r="K249" s="320"/>
      <c r="L249" s="335"/>
      <c r="M249" s="320"/>
      <c r="N249" s="320"/>
      <c r="O249" s="292"/>
    </row>
    <row r="250" spans="1:15" x14ac:dyDescent="0.15">
      <c r="A250" s="315"/>
      <c r="B250" s="189" t="s">
        <v>577</v>
      </c>
      <c r="C250" s="290">
        <v>1041.08</v>
      </c>
      <c r="D250" s="290">
        <f>SUM(C243:C250)</f>
        <v>2277.8599999999997</v>
      </c>
      <c r="E250" s="100"/>
      <c r="F250" s="100"/>
      <c r="G250" s="100"/>
      <c r="H250" s="297"/>
      <c r="I250" s="298"/>
      <c r="J250" s="320"/>
      <c r="K250" s="320"/>
      <c r="L250" s="335"/>
      <c r="M250" s="320"/>
      <c r="N250" s="320"/>
      <c r="O250" s="292"/>
    </row>
    <row r="251" spans="1:15" x14ac:dyDescent="0.15">
      <c r="A251" s="315"/>
      <c r="B251" s="189"/>
      <c r="C251" s="289"/>
      <c r="D251" s="289"/>
      <c r="E251" s="100"/>
      <c r="F251" s="100"/>
      <c r="G251" s="100"/>
      <c r="H251" s="297"/>
      <c r="I251" s="298"/>
      <c r="J251" s="320"/>
      <c r="K251" s="320"/>
      <c r="L251" s="335"/>
      <c r="M251" s="320"/>
      <c r="N251" s="320"/>
      <c r="O251" s="292"/>
    </row>
    <row r="252" spans="1:15" x14ac:dyDescent="0.15">
      <c r="A252" s="315"/>
      <c r="B252" s="289"/>
      <c r="C252" s="289"/>
      <c r="D252" s="289"/>
      <c r="E252" s="100"/>
      <c r="F252" s="100"/>
      <c r="G252" s="100"/>
      <c r="H252" s="297"/>
      <c r="I252" s="298"/>
      <c r="J252" s="320"/>
      <c r="K252" s="320"/>
      <c r="L252" s="335"/>
      <c r="M252" s="320"/>
      <c r="N252" s="320"/>
      <c r="O252" s="292"/>
    </row>
    <row r="253" spans="1:15" x14ac:dyDescent="0.15">
      <c r="A253" s="309" t="s">
        <v>906</v>
      </c>
      <c r="B253" s="310" t="s">
        <v>918</v>
      </c>
      <c r="C253" s="289"/>
      <c r="D253" s="316">
        <f>D235-D239+D250</f>
        <v>18027.769999999997</v>
      </c>
      <c r="E253" s="100"/>
      <c r="F253" s="100"/>
      <c r="G253" s="100"/>
      <c r="H253" s="297"/>
      <c r="I253" s="298"/>
      <c r="J253" s="320"/>
      <c r="K253" s="320"/>
      <c r="L253" s="335"/>
      <c r="M253" s="320"/>
      <c r="N253" s="320"/>
      <c r="O253" s="292"/>
    </row>
    <row r="254" spans="1:15" x14ac:dyDescent="0.15">
      <c r="A254" s="315"/>
      <c r="B254" s="289"/>
      <c r="C254" s="289" t="s">
        <v>907</v>
      </c>
      <c r="D254" s="311">
        <f>'Bank Rec'!D17</f>
        <v>18027.77</v>
      </c>
      <c r="E254" s="100"/>
      <c r="F254" s="348">
        <f>D254-D253</f>
        <v>0</v>
      </c>
      <c r="G254" s="100"/>
      <c r="H254" s="297"/>
      <c r="I254" s="298"/>
      <c r="J254" s="320"/>
      <c r="K254" s="320"/>
      <c r="L254" s="335"/>
      <c r="M254" s="320"/>
      <c r="N254" s="320"/>
      <c r="O254" s="292"/>
    </row>
    <row r="255" spans="1:15" x14ac:dyDescent="0.15">
      <c r="A255" s="315"/>
      <c r="B255" s="289"/>
      <c r="C255" s="289"/>
      <c r="D255" s="289"/>
      <c r="E255" s="100"/>
      <c r="F255" s="100"/>
      <c r="G255" s="100"/>
      <c r="H255" s="297"/>
      <c r="I255" s="298"/>
      <c r="J255" s="320"/>
      <c r="K255" s="320"/>
      <c r="L255" s="335"/>
      <c r="M255" s="320"/>
      <c r="N255" s="320"/>
      <c r="O255" s="292"/>
    </row>
    <row r="256" spans="1:15" x14ac:dyDescent="0.2">
      <c r="A256" s="280"/>
      <c r="B256" s="100"/>
      <c r="C256" s="100"/>
      <c r="D256" s="100"/>
      <c r="E256" s="100"/>
      <c r="F256" s="100"/>
      <c r="G256" s="100"/>
      <c r="H256" s="297"/>
      <c r="I256" s="298"/>
      <c r="J256" s="320"/>
      <c r="K256" s="320"/>
      <c r="L256" s="335"/>
      <c r="M256" s="320"/>
      <c r="N256" s="320"/>
      <c r="O256" s="292"/>
    </row>
    <row r="257" spans="1:15" x14ac:dyDescent="0.2">
      <c r="A257" s="280"/>
      <c r="B257" s="100"/>
      <c r="C257" s="100"/>
      <c r="D257" s="100"/>
      <c r="E257" s="100"/>
      <c r="F257" s="100"/>
      <c r="G257" s="100"/>
      <c r="H257" s="297"/>
      <c r="I257" s="298"/>
      <c r="J257" s="320"/>
      <c r="K257" s="320"/>
      <c r="L257" s="335"/>
      <c r="M257" s="320"/>
      <c r="N257" s="320"/>
      <c r="O257" s="292"/>
    </row>
    <row r="258" spans="1:15" x14ac:dyDescent="0.2">
      <c r="A258" s="280"/>
      <c r="B258" s="100"/>
      <c r="C258" s="100"/>
      <c r="D258" s="100"/>
      <c r="E258" s="100"/>
      <c r="F258" s="100"/>
      <c r="G258" s="100"/>
      <c r="H258" s="297"/>
      <c r="I258" s="298"/>
      <c r="J258" s="320"/>
      <c r="K258" s="320"/>
      <c r="L258" s="335"/>
      <c r="M258" s="320"/>
      <c r="N258" s="320"/>
      <c r="O258" s="292"/>
    </row>
    <row r="259" spans="1:15" x14ac:dyDescent="0.2">
      <c r="A259" s="280"/>
      <c r="B259" s="100"/>
      <c r="C259" s="100"/>
      <c r="D259" s="100"/>
      <c r="E259" s="100"/>
      <c r="F259" s="100"/>
      <c r="G259" s="100"/>
      <c r="H259" s="297"/>
      <c r="I259" s="298"/>
      <c r="J259" s="320"/>
      <c r="K259" s="320"/>
      <c r="L259" s="335"/>
      <c r="M259" s="320"/>
      <c r="N259" s="320"/>
      <c r="O259" s="292"/>
    </row>
    <row r="260" spans="1:15" x14ac:dyDescent="0.2">
      <c r="A260" s="280"/>
      <c r="B260" s="100"/>
      <c r="C260" s="100"/>
      <c r="D260" s="100"/>
      <c r="E260" s="100"/>
      <c r="F260" s="100"/>
      <c r="G260" s="100"/>
      <c r="H260" s="297"/>
      <c r="I260" s="298"/>
      <c r="J260" s="320"/>
      <c r="K260" s="320"/>
      <c r="L260" s="335"/>
      <c r="M260" s="320"/>
      <c r="N260" s="320"/>
      <c r="O260" s="292"/>
    </row>
    <row r="261" spans="1:15" x14ac:dyDescent="0.2">
      <c r="A261" s="280"/>
      <c r="B261" s="100"/>
      <c r="C261" s="100"/>
      <c r="D261" s="100"/>
      <c r="E261" s="100"/>
      <c r="F261" s="100"/>
      <c r="G261" s="100"/>
      <c r="H261" s="297"/>
      <c r="I261" s="298"/>
      <c r="J261" s="320"/>
      <c r="K261" s="320"/>
      <c r="L261" s="335"/>
      <c r="M261" s="320"/>
      <c r="N261" s="320"/>
      <c r="O261" s="292"/>
    </row>
    <row r="262" spans="1:15" x14ac:dyDescent="0.2">
      <c r="A262" s="280"/>
      <c r="B262" s="100"/>
      <c r="C262" s="100"/>
      <c r="D262" s="100"/>
      <c r="E262" s="100"/>
      <c r="F262" s="100"/>
      <c r="G262" s="100"/>
      <c r="H262" s="297"/>
      <c r="I262" s="298"/>
      <c r="J262" s="320"/>
      <c r="K262" s="320"/>
      <c r="L262" s="335"/>
      <c r="M262" s="320"/>
      <c r="N262" s="320"/>
      <c r="O262" s="292"/>
    </row>
    <row r="263" spans="1:15" x14ac:dyDescent="0.2">
      <c r="A263" s="280"/>
      <c r="B263" s="100"/>
      <c r="C263" s="100"/>
      <c r="D263" s="100"/>
      <c r="E263" s="100"/>
      <c r="F263" s="100"/>
      <c r="G263" s="100"/>
      <c r="H263" s="297"/>
      <c r="I263" s="298"/>
      <c r="J263" s="320"/>
      <c r="K263" s="320"/>
      <c r="L263" s="335"/>
      <c r="M263" s="320"/>
      <c r="N263" s="320"/>
      <c r="O263" s="292"/>
    </row>
    <row r="264" spans="1:15" x14ac:dyDescent="0.2">
      <c r="A264" s="280"/>
      <c r="B264" s="100"/>
      <c r="C264" s="100"/>
      <c r="D264" s="100"/>
      <c r="E264" s="100"/>
      <c r="F264" s="100"/>
      <c r="G264" s="100"/>
      <c r="H264" s="297"/>
      <c r="I264" s="298"/>
      <c r="J264" s="320"/>
      <c r="K264" s="320"/>
      <c r="L264" s="335"/>
      <c r="M264" s="320"/>
      <c r="N264" s="320"/>
      <c r="O264" s="292"/>
    </row>
    <row r="265" spans="1:15" x14ac:dyDescent="0.2">
      <c r="A265" s="280"/>
      <c r="B265" s="100"/>
      <c r="C265" s="100"/>
      <c r="D265" s="100"/>
      <c r="E265" s="100"/>
      <c r="F265" s="100"/>
      <c r="G265" s="100"/>
      <c r="H265" s="297"/>
      <c r="I265" s="298"/>
      <c r="J265" s="320"/>
      <c r="K265" s="320"/>
      <c r="L265" s="335"/>
      <c r="M265" s="320"/>
      <c r="N265" s="320"/>
      <c r="O265" s="292"/>
    </row>
    <row r="266" spans="1:15" x14ac:dyDescent="0.2">
      <c r="A266" s="280"/>
      <c r="B266" s="100"/>
      <c r="C266" s="100"/>
      <c r="D266" s="100"/>
      <c r="E266" s="100"/>
      <c r="F266" s="100"/>
      <c r="G266" s="100"/>
      <c r="H266" s="297"/>
      <c r="I266" s="298"/>
      <c r="J266" s="320"/>
      <c r="K266" s="320"/>
      <c r="L266" s="335"/>
      <c r="M266" s="320"/>
      <c r="N266" s="320"/>
      <c r="O266" s="292"/>
    </row>
    <row r="267" spans="1:15" x14ac:dyDescent="0.2">
      <c r="A267" s="280"/>
      <c r="B267" s="100"/>
      <c r="C267" s="100"/>
      <c r="D267" s="100"/>
      <c r="E267" s="100"/>
      <c r="F267" s="100"/>
      <c r="G267" s="100"/>
      <c r="H267" s="297"/>
      <c r="I267" s="298"/>
      <c r="J267" s="320"/>
      <c r="K267" s="320"/>
      <c r="L267" s="335"/>
      <c r="M267" s="320"/>
      <c r="N267" s="320"/>
      <c r="O267" s="292"/>
    </row>
    <row r="268" spans="1:15" x14ac:dyDescent="0.2">
      <c r="A268" s="280"/>
      <c r="B268" s="100"/>
      <c r="C268" s="100"/>
      <c r="D268" s="100"/>
      <c r="E268" s="100"/>
      <c r="F268" s="100"/>
      <c r="G268" s="100"/>
      <c r="H268" s="297"/>
      <c r="I268" s="298"/>
      <c r="J268" s="320"/>
      <c r="K268" s="320"/>
      <c r="L268" s="335"/>
      <c r="M268" s="320"/>
      <c r="N268" s="320"/>
      <c r="O268" s="292"/>
    </row>
    <row r="269" spans="1:15" x14ac:dyDescent="0.2">
      <c r="A269" s="280"/>
      <c r="B269" s="100"/>
      <c r="C269" s="100"/>
      <c r="D269" s="100"/>
      <c r="E269" s="100"/>
      <c r="F269" s="100"/>
      <c r="G269" s="100"/>
      <c r="H269" s="297"/>
      <c r="I269" s="298"/>
      <c r="J269" s="320"/>
      <c r="K269" s="320"/>
      <c r="L269" s="335"/>
      <c r="M269" s="320"/>
      <c r="N269" s="320"/>
      <c r="O269" s="292"/>
    </row>
    <row r="270" spans="1:15" x14ac:dyDescent="0.2">
      <c r="A270" s="280"/>
      <c r="B270" s="100"/>
      <c r="C270" s="100"/>
      <c r="D270" s="100"/>
      <c r="E270" s="100"/>
      <c r="F270" s="100"/>
      <c r="G270" s="100"/>
      <c r="H270" s="297"/>
      <c r="I270" s="298"/>
      <c r="J270" s="320"/>
      <c r="K270" s="320"/>
      <c r="L270" s="335"/>
      <c r="M270" s="320"/>
      <c r="N270" s="320"/>
      <c r="O270" s="292"/>
    </row>
    <row r="271" spans="1:15" x14ac:dyDescent="0.2">
      <c r="A271" s="280"/>
      <c r="B271" s="100"/>
      <c r="C271" s="100"/>
      <c r="D271" s="100"/>
      <c r="E271" s="100"/>
      <c r="F271" s="100"/>
      <c r="G271" s="100"/>
      <c r="H271" s="297"/>
      <c r="I271" s="298"/>
      <c r="J271" s="320"/>
      <c r="K271" s="320"/>
      <c r="L271" s="335"/>
      <c r="M271" s="320"/>
      <c r="N271" s="320"/>
      <c r="O271" s="292"/>
    </row>
    <row r="272" spans="1:15" x14ac:dyDescent="0.2">
      <c r="A272" s="280"/>
      <c r="B272" s="100"/>
      <c r="C272" s="100"/>
      <c r="D272" s="100"/>
      <c r="E272" s="100"/>
      <c r="F272" s="100"/>
      <c r="G272" s="100"/>
      <c r="H272" s="297"/>
      <c r="I272" s="298"/>
      <c r="J272" s="320"/>
      <c r="K272" s="320"/>
      <c r="L272" s="335"/>
      <c r="M272" s="320"/>
      <c r="N272" s="320"/>
      <c r="O272" s="292"/>
    </row>
    <row r="273" spans="1:15" x14ac:dyDescent="0.2">
      <c r="A273" s="280"/>
      <c r="B273" s="100"/>
      <c r="C273" s="100"/>
      <c r="D273" s="100"/>
      <c r="E273" s="100"/>
      <c r="F273" s="100"/>
      <c r="G273" s="100"/>
      <c r="H273" s="297"/>
      <c r="I273" s="298"/>
      <c r="J273" s="320"/>
      <c r="K273" s="320"/>
      <c r="L273" s="335"/>
      <c r="M273" s="320"/>
      <c r="N273" s="320"/>
      <c r="O273" s="292"/>
    </row>
    <row r="274" spans="1:15" x14ac:dyDescent="0.2">
      <c r="A274" s="280"/>
      <c r="B274" s="100"/>
      <c r="C274" s="100"/>
      <c r="D274" s="100"/>
      <c r="E274" s="100"/>
      <c r="F274" s="100"/>
      <c r="G274" s="100"/>
      <c r="H274" s="297"/>
      <c r="I274" s="298"/>
      <c r="J274" s="320"/>
      <c r="K274" s="320"/>
      <c r="L274" s="335"/>
      <c r="M274" s="320"/>
      <c r="N274" s="320"/>
      <c r="O274" s="292"/>
    </row>
    <row r="275" spans="1:15" x14ac:dyDescent="0.2">
      <c r="A275" s="280"/>
      <c r="B275" s="100"/>
      <c r="C275" s="100"/>
      <c r="D275" s="100"/>
      <c r="E275" s="100"/>
      <c r="F275" s="100"/>
      <c r="G275" s="100"/>
      <c r="H275" s="297"/>
      <c r="I275" s="298"/>
      <c r="J275" s="320"/>
      <c r="K275" s="320"/>
      <c r="L275" s="335"/>
      <c r="M275" s="320"/>
      <c r="N275" s="320"/>
      <c r="O275" s="292"/>
    </row>
    <row r="276" spans="1:15" x14ac:dyDescent="0.2">
      <c r="A276" s="280"/>
      <c r="B276" s="100"/>
      <c r="C276" s="100"/>
      <c r="D276" s="100"/>
      <c r="E276" s="100"/>
      <c r="F276" s="100"/>
      <c r="G276" s="100"/>
      <c r="H276" s="297"/>
      <c r="I276" s="298"/>
      <c r="J276" s="320"/>
      <c r="K276" s="320"/>
      <c r="L276" s="335"/>
      <c r="M276" s="320"/>
      <c r="N276" s="320"/>
      <c r="O276" s="292"/>
    </row>
    <row r="277" spans="1:15" x14ac:dyDescent="0.2">
      <c r="A277" s="280"/>
      <c r="B277" s="100"/>
      <c r="C277" s="100"/>
      <c r="D277" s="100"/>
      <c r="E277" s="100"/>
      <c r="F277" s="100"/>
      <c r="G277" s="100"/>
      <c r="H277" s="297"/>
      <c r="I277" s="298"/>
      <c r="J277" s="320"/>
      <c r="K277" s="320"/>
      <c r="L277" s="335"/>
      <c r="M277" s="320"/>
      <c r="N277" s="320"/>
      <c r="O277" s="292"/>
    </row>
    <row r="278" spans="1:15" x14ac:dyDescent="0.2">
      <c r="A278" s="280"/>
      <c r="B278" s="100"/>
      <c r="C278" s="100"/>
      <c r="D278" s="100"/>
      <c r="E278" s="100"/>
      <c r="F278" s="100"/>
      <c r="G278" s="100"/>
      <c r="H278" s="297"/>
      <c r="I278" s="298"/>
      <c r="J278" s="320"/>
      <c r="K278" s="320"/>
      <c r="L278" s="335"/>
      <c r="M278" s="320"/>
      <c r="N278" s="320"/>
      <c r="O278" s="292"/>
    </row>
    <row r="279" spans="1:15" x14ac:dyDescent="0.2">
      <c r="A279" s="280"/>
      <c r="B279" s="100"/>
      <c r="C279" s="100"/>
      <c r="D279" s="100"/>
      <c r="E279" s="100"/>
      <c r="F279" s="100"/>
      <c r="G279" s="100"/>
      <c r="H279" s="297"/>
      <c r="I279" s="298"/>
      <c r="J279" s="320"/>
      <c r="K279" s="320"/>
      <c r="L279" s="335"/>
      <c r="M279" s="320"/>
      <c r="N279" s="320"/>
      <c r="O279" s="292"/>
    </row>
    <row r="280" spans="1:15" x14ac:dyDescent="0.2">
      <c r="A280" s="280"/>
      <c r="B280" s="100"/>
      <c r="C280" s="100"/>
      <c r="D280" s="100"/>
      <c r="E280" s="100"/>
      <c r="F280" s="100"/>
      <c r="G280" s="100"/>
      <c r="H280" s="297"/>
      <c r="I280" s="298"/>
      <c r="J280" s="320"/>
      <c r="K280" s="320"/>
      <c r="L280" s="335"/>
      <c r="M280" s="320"/>
      <c r="N280" s="320"/>
      <c r="O280" s="292"/>
    </row>
    <row r="281" spans="1:15" x14ac:dyDescent="0.2">
      <c r="A281" s="280"/>
      <c r="B281" s="100"/>
      <c r="C281" s="100"/>
      <c r="D281" s="100"/>
      <c r="E281" s="100"/>
      <c r="F281" s="100"/>
      <c r="G281" s="100"/>
      <c r="H281" s="297"/>
      <c r="I281" s="298"/>
      <c r="J281" s="320"/>
      <c r="K281" s="320"/>
      <c r="L281" s="335"/>
      <c r="M281" s="320"/>
      <c r="N281" s="320"/>
      <c r="O281" s="292"/>
    </row>
    <row r="282" spans="1:15" x14ac:dyDescent="0.2">
      <c r="A282" s="280"/>
      <c r="B282" s="100"/>
      <c r="C282" s="100"/>
      <c r="D282" s="100"/>
      <c r="E282" s="100"/>
      <c r="F282" s="100"/>
      <c r="G282" s="100"/>
      <c r="H282" s="297"/>
      <c r="I282" s="298"/>
      <c r="J282" s="320"/>
      <c r="K282" s="320"/>
      <c r="L282" s="335"/>
      <c r="M282" s="320"/>
      <c r="N282" s="320"/>
      <c r="O282" s="292"/>
    </row>
    <row r="283" spans="1:15" x14ac:dyDescent="0.2">
      <c r="A283" s="280"/>
      <c r="B283" s="100"/>
      <c r="C283" s="100"/>
      <c r="D283" s="100"/>
      <c r="E283" s="100"/>
      <c r="F283" s="100"/>
      <c r="G283" s="100"/>
      <c r="H283" s="297"/>
      <c r="I283" s="298"/>
      <c r="J283" s="320"/>
      <c r="K283" s="320"/>
      <c r="L283" s="335"/>
      <c r="M283" s="320"/>
      <c r="N283" s="320"/>
      <c r="O283" s="292"/>
    </row>
    <row r="284" spans="1:15" x14ac:dyDescent="0.2">
      <c r="A284" s="280"/>
      <c r="B284" s="100"/>
      <c r="C284" s="100"/>
      <c r="D284" s="100"/>
      <c r="E284" s="100"/>
      <c r="F284" s="100"/>
      <c r="G284" s="100"/>
      <c r="H284" s="297"/>
      <c r="I284" s="298"/>
      <c r="J284" s="320"/>
      <c r="K284" s="320"/>
      <c r="L284" s="335"/>
      <c r="M284" s="320"/>
      <c r="N284" s="320"/>
      <c r="O284" s="292"/>
    </row>
    <row r="285" spans="1:15" x14ac:dyDescent="0.2">
      <c r="A285" s="280"/>
      <c r="B285" s="100"/>
      <c r="C285" s="100"/>
      <c r="D285" s="100"/>
      <c r="E285" s="100"/>
      <c r="F285" s="100"/>
      <c r="G285" s="100"/>
      <c r="H285" s="297"/>
      <c r="I285" s="298"/>
      <c r="J285" s="320"/>
      <c r="K285" s="320"/>
      <c r="L285" s="335"/>
      <c r="M285" s="320"/>
      <c r="N285" s="320"/>
      <c r="O285" s="292"/>
    </row>
    <row r="286" spans="1:15" x14ac:dyDescent="0.2">
      <c r="A286" s="280"/>
      <c r="B286" s="100"/>
      <c r="C286" s="100"/>
      <c r="D286" s="100"/>
      <c r="E286" s="100"/>
      <c r="F286" s="100"/>
      <c r="G286" s="100"/>
      <c r="H286" s="297"/>
      <c r="I286" s="298"/>
      <c r="J286" s="320"/>
      <c r="K286" s="320"/>
      <c r="L286" s="335"/>
      <c r="M286" s="320"/>
      <c r="N286" s="320"/>
      <c r="O286" s="292"/>
    </row>
    <row r="287" spans="1:15" x14ac:dyDescent="0.2">
      <c r="A287" s="280"/>
      <c r="B287" s="100"/>
      <c r="C287" s="100"/>
      <c r="D287" s="100"/>
      <c r="E287" s="100"/>
      <c r="F287" s="100"/>
      <c r="G287" s="100"/>
      <c r="H287" s="297"/>
      <c r="I287" s="298"/>
      <c r="J287" s="320"/>
      <c r="K287" s="320"/>
      <c r="L287" s="335"/>
      <c r="M287" s="320"/>
      <c r="N287" s="320"/>
      <c r="O287" s="292"/>
    </row>
    <row r="288" spans="1:15" x14ac:dyDescent="0.2">
      <c r="A288" s="280"/>
      <c r="B288" s="100"/>
      <c r="C288" s="100"/>
      <c r="D288" s="100"/>
      <c r="E288" s="100"/>
      <c r="F288" s="100"/>
      <c r="G288" s="100"/>
      <c r="H288" s="297"/>
      <c r="I288" s="298"/>
      <c r="J288" s="320"/>
      <c r="K288" s="320"/>
      <c r="L288" s="335"/>
      <c r="M288" s="320"/>
      <c r="N288" s="320"/>
      <c r="O288" s="292"/>
    </row>
    <row r="289" spans="1:15" x14ac:dyDescent="0.2">
      <c r="A289" s="280"/>
      <c r="B289" s="100"/>
      <c r="C289" s="100"/>
      <c r="D289" s="100"/>
      <c r="E289" s="100"/>
      <c r="F289" s="100"/>
      <c r="G289" s="100"/>
      <c r="H289" s="297"/>
      <c r="I289" s="298"/>
      <c r="J289" s="320"/>
      <c r="K289" s="320"/>
      <c r="L289" s="335"/>
      <c r="M289" s="320"/>
      <c r="N289" s="320"/>
      <c r="O289" s="292"/>
    </row>
    <row r="290" spans="1:15" x14ac:dyDescent="0.2">
      <c r="A290" s="280"/>
      <c r="B290" s="100"/>
      <c r="C290" s="100"/>
      <c r="D290" s="100"/>
      <c r="E290" s="100"/>
      <c r="F290" s="100"/>
      <c r="G290" s="100"/>
      <c r="H290" s="297"/>
      <c r="I290" s="298"/>
      <c r="J290" s="320"/>
      <c r="K290" s="320"/>
      <c r="L290" s="335"/>
      <c r="M290" s="320"/>
      <c r="N290" s="320"/>
      <c r="O290" s="292"/>
    </row>
    <row r="291" spans="1:15" x14ac:dyDescent="0.2">
      <c r="A291" s="280"/>
      <c r="B291" s="100"/>
      <c r="C291" s="100"/>
      <c r="D291" s="100"/>
      <c r="E291" s="100"/>
      <c r="F291" s="100"/>
      <c r="G291" s="100"/>
      <c r="H291" s="297"/>
      <c r="I291" s="298"/>
      <c r="J291" s="320"/>
      <c r="K291" s="320"/>
      <c r="L291" s="335"/>
      <c r="M291" s="320"/>
      <c r="N291" s="320"/>
      <c r="O291" s="292"/>
    </row>
    <row r="292" spans="1:15" x14ac:dyDescent="0.2">
      <c r="A292" s="280"/>
      <c r="B292" s="100"/>
      <c r="C292" s="100"/>
      <c r="D292" s="100"/>
      <c r="E292" s="100"/>
      <c r="F292" s="100"/>
      <c r="G292" s="100"/>
      <c r="H292" s="297"/>
      <c r="I292" s="298"/>
      <c r="J292" s="320"/>
      <c r="K292" s="320"/>
      <c r="L292" s="335"/>
      <c r="M292" s="320"/>
      <c r="N292" s="320"/>
      <c r="O292" s="292"/>
    </row>
    <row r="293" spans="1:15" x14ac:dyDescent="0.2">
      <c r="A293" s="280"/>
      <c r="B293" s="100"/>
      <c r="C293" s="100"/>
      <c r="D293" s="100"/>
      <c r="E293" s="100"/>
      <c r="F293" s="100"/>
      <c r="G293" s="100"/>
      <c r="H293" s="297"/>
      <c r="I293" s="298"/>
      <c r="J293" s="320"/>
      <c r="K293" s="320"/>
      <c r="L293" s="335"/>
      <c r="M293" s="320"/>
      <c r="N293" s="320"/>
      <c r="O293" s="292"/>
    </row>
    <row r="294" spans="1:15" x14ac:dyDescent="0.2">
      <c r="A294" s="280"/>
      <c r="B294" s="100"/>
      <c r="C294" s="100"/>
      <c r="D294" s="100"/>
      <c r="E294" s="100"/>
      <c r="F294" s="100"/>
      <c r="G294" s="100"/>
      <c r="H294" s="297"/>
      <c r="I294" s="298"/>
      <c r="J294" s="320"/>
      <c r="K294" s="320"/>
      <c r="L294" s="335"/>
      <c r="M294" s="320"/>
      <c r="N294" s="320"/>
      <c r="O294" s="292"/>
    </row>
    <row r="295" spans="1:15" x14ac:dyDescent="0.2">
      <c r="A295" s="280"/>
      <c r="B295" s="100"/>
      <c r="C295" s="100"/>
      <c r="D295" s="100"/>
      <c r="E295" s="100"/>
      <c r="F295" s="100"/>
      <c r="G295" s="100"/>
      <c r="H295" s="297"/>
      <c r="I295" s="298"/>
      <c r="J295" s="320"/>
      <c r="K295" s="320"/>
      <c r="L295" s="335"/>
      <c r="M295" s="320"/>
      <c r="N295" s="320"/>
      <c r="O295" s="292"/>
    </row>
    <row r="296" spans="1:15" x14ac:dyDescent="0.2">
      <c r="A296" s="280"/>
      <c r="B296" s="100"/>
      <c r="C296" s="100"/>
      <c r="D296" s="100"/>
      <c r="E296" s="100"/>
      <c r="F296" s="100"/>
      <c r="G296" s="100"/>
      <c r="H296" s="297"/>
      <c r="I296" s="298"/>
      <c r="J296" s="320"/>
      <c r="K296" s="320"/>
      <c r="L296" s="335"/>
      <c r="M296" s="320"/>
      <c r="N296" s="320"/>
      <c r="O296" s="292"/>
    </row>
    <row r="297" spans="1:15" x14ac:dyDescent="0.2">
      <c r="A297" s="280"/>
      <c r="B297" s="100"/>
      <c r="C297" s="100"/>
      <c r="D297" s="100"/>
      <c r="E297" s="100"/>
      <c r="F297" s="100"/>
      <c r="G297" s="100"/>
      <c r="H297" s="297"/>
      <c r="I297" s="298"/>
      <c r="J297" s="320"/>
      <c r="K297" s="320"/>
      <c r="L297" s="335"/>
      <c r="M297" s="320"/>
      <c r="N297" s="320"/>
      <c r="O297" s="292"/>
    </row>
    <row r="298" spans="1:15" x14ac:dyDescent="0.2">
      <c r="A298" s="280"/>
      <c r="B298" s="100"/>
      <c r="C298" s="100"/>
      <c r="D298" s="100"/>
      <c r="E298" s="100"/>
      <c r="F298" s="100"/>
      <c r="G298" s="100"/>
      <c r="H298" s="297"/>
      <c r="I298" s="298"/>
      <c r="J298" s="320"/>
      <c r="K298" s="320"/>
      <c r="L298" s="335"/>
      <c r="M298" s="320"/>
      <c r="N298" s="320"/>
      <c r="O298" s="292"/>
    </row>
    <row r="299" spans="1:15" x14ac:dyDescent="0.2">
      <c r="A299" s="280"/>
      <c r="B299" s="100"/>
      <c r="C299" s="100"/>
      <c r="D299" s="100"/>
      <c r="E299" s="100"/>
      <c r="F299" s="100"/>
      <c r="G299" s="100"/>
      <c r="H299" s="297"/>
      <c r="I299" s="298"/>
      <c r="J299" s="320"/>
      <c r="K299" s="320"/>
      <c r="L299" s="335"/>
      <c r="M299" s="320"/>
      <c r="N299" s="320"/>
      <c r="O299" s="292"/>
    </row>
    <row r="300" spans="1:15" x14ac:dyDescent="0.2">
      <c r="A300" s="280"/>
      <c r="B300" s="100"/>
      <c r="C300" s="100"/>
      <c r="D300" s="100"/>
      <c r="E300" s="100"/>
      <c r="F300" s="100"/>
      <c r="G300" s="100"/>
      <c r="H300" s="297"/>
      <c r="I300" s="298"/>
      <c r="J300" s="320"/>
      <c r="K300" s="320"/>
      <c r="L300" s="335"/>
      <c r="M300" s="320"/>
      <c r="N300" s="320"/>
      <c r="O300" s="292"/>
    </row>
    <row r="301" spans="1:15" x14ac:dyDescent="0.2">
      <c r="A301" s="280"/>
      <c r="B301" s="100"/>
      <c r="C301" s="100"/>
      <c r="D301" s="100"/>
      <c r="E301" s="100"/>
      <c r="F301" s="100"/>
      <c r="G301" s="100"/>
      <c r="H301" s="297"/>
      <c r="I301" s="298"/>
      <c r="J301" s="320"/>
      <c r="K301" s="320"/>
      <c r="L301" s="335"/>
      <c r="M301" s="320"/>
      <c r="N301" s="320"/>
      <c r="O301" s="292"/>
    </row>
    <row r="302" spans="1:15" x14ac:dyDescent="0.2">
      <c r="A302" s="280"/>
      <c r="B302" s="100"/>
      <c r="C302" s="100"/>
      <c r="D302" s="100"/>
      <c r="E302" s="100"/>
      <c r="F302" s="100"/>
      <c r="G302" s="100"/>
      <c r="H302" s="297"/>
      <c r="I302" s="298"/>
      <c r="J302" s="320"/>
      <c r="K302" s="320"/>
      <c r="L302" s="335"/>
      <c r="M302" s="320"/>
      <c r="N302" s="320"/>
      <c r="O302" s="292"/>
    </row>
    <row r="303" spans="1:15" x14ac:dyDescent="0.2">
      <c r="A303" s="280"/>
      <c r="B303" s="100"/>
      <c r="C303" s="100"/>
      <c r="D303" s="100"/>
      <c r="E303" s="100"/>
      <c r="F303" s="100"/>
      <c r="G303" s="100"/>
      <c r="H303" s="297"/>
      <c r="I303" s="298"/>
      <c r="J303" s="320"/>
      <c r="K303" s="320"/>
      <c r="L303" s="335"/>
      <c r="M303" s="320"/>
      <c r="N303" s="320"/>
      <c r="O303" s="292"/>
    </row>
    <row r="304" spans="1:15" x14ac:dyDescent="0.2">
      <c r="A304" s="280"/>
      <c r="B304" s="100"/>
      <c r="C304" s="100"/>
      <c r="D304" s="100"/>
      <c r="E304" s="100"/>
      <c r="F304" s="100"/>
      <c r="G304" s="100"/>
      <c r="H304" s="297"/>
      <c r="I304" s="298"/>
      <c r="J304" s="320"/>
      <c r="K304" s="320"/>
      <c r="L304" s="335"/>
      <c r="M304" s="320"/>
      <c r="N304" s="320"/>
      <c r="O304" s="292"/>
    </row>
    <row r="305" spans="1:15" x14ac:dyDescent="0.2">
      <c r="A305" s="280"/>
      <c r="B305" s="100"/>
      <c r="C305" s="100"/>
      <c r="D305" s="100"/>
      <c r="E305" s="100"/>
      <c r="F305" s="100"/>
      <c r="G305" s="100"/>
      <c r="H305" s="297"/>
      <c r="I305" s="298"/>
      <c r="J305" s="320"/>
      <c r="K305" s="320"/>
      <c r="L305" s="335"/>
      <c r="M305" s="320"/>
      <c r="N305" s="320"/>
      <c r="O305" s="292"/>
    </row>
    <row r="306" spans="1:15" x14ac:dyDescent="0.2">
      <c r="A306" s="280"/>
      <c r="B306" s="100"/>
      <c r="C306" s="100"/>
      <c r="D306" s="100"/>
      <c r="E306" s="100"/>
      <c r="F306" s="100"/>
      <c r="G306" s="100"/>
      <c r="H306" s="297"/>
      <c r="I306" s="298"/>
      <c r="J306" s="320"/>
      <c r="K306" s="320"/>
      <c r="L306" s="335"/>
      <c r="M306" s="320"/>
      <c r="N306" s="320"/>
      <c r="O306" s="292"/>
    </row>
    <row r="307" spans="1:15" x14ac:dyDescent="0.2">
      <c r="A307" s="280"/>
      <c r="B307" s="100"/>
      <c r="C307" s="100"/>
      <c r="D307" s="100"/>
      <c r="E307" s="100"/>
      <c r="F307" s="100"/>
      <c r="G307" s="100"/>
      <c r="H307" s="297"/>
      <c r="I307" s="298"/>
      <c r="J307" s="320"/>
      <c r="K307" s="320"/>
      <c r="L307" s="335"/>
      <c r="M307" s="320"/>
      <c r="N307" s="320"/>
      <c r="O307" s="292"/>
    </row>
    <row r="308" spans="1:15" x14ac:dyDescent="0.2">
      <c r="A308" s="280"/>
      <c r="B308" s="100"/>
      <c r="C308" s="100"/>
      <c r="D308" s="100"/>
      <c r="E308" s="100"/>
      <c r="F308" s="100"/>
      <c r="G308" s="100"/>
      <c r="H308" s="297"/>
      <c r="I308" s="298"/>
      <c r="J308" s="320"/>
      <c r="K308" s="320"/>
      <c r="L308" s="335"/>
      <c r="M308" s="320"/>
      <c r="N308" s="320"/>
      <c r="O308" s="292"/>
    </row>
    <row r="309" spans="1:15" x14ac:dyDescent="0.2">
      <c r="A309" s="280"/>
      <c r="B309" s="100"/>
      <c r="C309" s="100"/>
      <c r="D309" s="100"/>
      <c r="E309" s="100"/>
      <c r="F309" s="100"/>
      <c r="G309" s="100"/>
      <c r="H309" s="297"/>
      <c r="I309" s="298"/>
      <c r="J309" s="320"/>
      <c r="K309" s="320"/>
      <c r="L309" s="335"/>
      <c r="M309" s="320"/>
      <c r="N309" s="320"/>
      <c r="O309" s="292"/>
    </row>
    <row r="310" spans="1:15" x14ac:dyDescent="0.2">
      <c r="A310" s="280"/>
      <c r="B310" s="100"/>
      <c r="C310" s="100"/>
      <c r="D310" s="100"/>
      <c r="E310" s="100"/>
      <c r="F310" s="100"/>
      <c r="G310" s="100"/>
      <c r="H310" s="297"/>
      <c r="I310" s="298"/>
      <c r="J310" s="320"/>
      <c r="K310" s="320"/>
      <c r="L310" s="335"/>
      <c r="M310" s="320"/>
      <c r="N310" s="320"/>
      <c r="O310" s="292"/>
    </row>
    <row r="311" spans="1:15" x14ac:dyDescent="0.2">
      <c r="A311" s="280"/>
      <c r="B311" s="100"/>
      <c r="C311" s="100"/>
      <c r="D311" s="100"/>
      <c r="E311" s="100"/>
      <c r="F311" s="100"/>
      <c r="G311" s="100"/>
      <c r="H311" s="297"/>
      <c r="I311" s="298"/>
      <c r="J311" s="320"/>
      <c r="K311" s="320"/>
      <c r="L311" s="335"/>
      <c r="M311" s="320"/>
      <c r="N311" s="320"/>
      <c r="O311" s="292"/>
    </row>
    <row r="312" spans="1:15" x14ac:dyDescent="0.2">
      <c r="A312" s="280"/>
      <c r="B312" s="100"/>
      <c r="C312" s="100"/>
      <c r="D312" s="100"/>
      <c r="E312" s="100"/>
      <c r="F312" s="100"/>
      <c r="G312" s="100"/>
      <c r="H312" s="297"/>
      <c r="I312" s="298"/>
      <c r="J312" s="320"/>
      <c r="K312" s="320"/>
      <c r="L312" s="335"/>
      <c r="M312" s="320"/>
      <c r="N312" s="320"/>
      <c r="O312" s="292"/>
    </row>
    <row r="313" spans="1:15" x14ac:dyDescent="0.2">
      <c r="A313" s="280"/>
      <c r="B313" s="100"/>
      <c r="C313" s="100"/>
      <c r="D313" s="100"/>
      <c r="E313" s="100"/>
      <c r="F313" s="100"/>
      <c r="G313" s="100"/>
      <c r="H313" s="297"/>
      <c r="I313" s="298"/>
      <c r="J313" s="320"/>
      <c r="K313" s="320"/>
      <c r="L313" s="335"/>
      <c r="M313" s="320"/>
      <c r="N313" s="320"/>
      <c r="O313" s="292"/>
    </row>
    <row r="314" spans="1:15" x14ac:dyDescent="0.2">
      <c r="A314" s="280"/>
      <c r="B314" s="100"/>
      <c r="C314" s="100"/>
      <c r="D314" s="100"/>
      <c r="E314" s="100"/>
      <c r="F314" s="100"/>
      <c r="G314" s="100"/>
      <c r="H314" s="297"/>
      <c r="I314" s="298"/>
      <c r="J314" s="320"/>
      <c r="K314" s="320"/>
      <c r="L314" s="335"/>
      <c r="M314" s="320"/>
      <c r="N314" s="320"/>
      <c r="O314" s="292"/>
    </row>
    <row r="315" spans="1:15" x14ac:dyDescent="0.2">
      <c r="A315" s="280"/>
      <c r="B315" s="100"/>
      <c r="C315" s="100"/>
      <c r="D315" s="100"/>
      <c r="E315" s="100"/>
      <c r="F315" s="100"/>
      <c r="G315" s="100"/>
      <c r="H315" s="297"/>
      <c r="I315" s="298"/>
      <c r="J315" s="320"/>
      <c r="K315" s="320"/>
      <c r="L315" s="335"/>
      <c r="M315" s="320"/>
      <c r="N315" s="320"/>
      <c r="O315" s="292"/>
    </row>
    <row r="316" spans="1:15" x14ac:dyDescent="0.2">
      <c r="A316" s="280"/>
      <c r="B316" s="100"/>
      <c r="C316" s="100"/>
      <c r="D316" s="100"/>
      <c r="E316" s="100"/>
      <c r="F316" s="100"/>
      <c r="G316" s="100"/>
      <c r="H316" s="297"/>
      <c r="I316" s="298"/>
      <c r="J316" s="320"/>
      <c r="K316" s="320"/>
      <c r="L316" s="335"/>
      <c r="M316" s="320"/>
      <c r="N316" s="320"/>
      <c r="O316" s="292"/>
    </row>
    <row r="317" spans="1:15" x14ac:dyDescent="0.2">
      <c r="A317" s="280"/>
      <c r="B317" s="100"/>
      <c r="C317" s="100"/>
      <c r="D317" s="100"/>
      <c r="E317" s="100"/>
      <c r="F317" s="100"/>
      <c r="G317" s="100"/>
      <c r="H317" s="297"/>
      <c r="I317" s="298"/>
      <c r="J317" s="320"/>
      <c r="K317" s="320"/>
      <c r="L317" s="335"/>
      <c r="M317" s="320"/>
      <c r="N317" s="320"/>
      <c r="O317" s="292"/>
    </row>
    <row r="318" spans="1:15" x14ac:dyDescent="0.2">
      <c r="A318" s="280"/>
      <c r="B318" s="100"/>
      <c r="C318" s="100"/>
      <c r="D318" s="100"/>
      <c r="E318" s="100"/>
      <c r="F318" s="100"/>
      <c r="G318" s="100"/>
      <c r="H318" s="297"/>
      <c r="I318" s="298"/>
      <c r="J318" s="320"/>
      <c r="K318" s="320"/>
      <c r="L318" s="335"/>
      <c r="M318" s="320"/>
      <c r="N318" s="320"/>
      <c r="O318" s="292"/>
    </row>
    <row r="319" spans="1:15" x14ac:dyDescent="0.2">
      <c r="A319" s="280"/>
      <c r="B319" s="100"/>
      <c r="C319" s="100"/>
      <c r="D319" s="100"/>
      <c r="E319" s="100"/>
      <c r="F319" s="100"/>
      <c r="G319" s="100"/>
      <c r="H319" s="297"/>
      <c r="I319" s="298"/>
      <c r="J319" s="320"/>
      <c r="K319" s="320"/>
      <c r="L319" s="335"/>
      <c r="M319" s="320"/>
      <c r="N319" s="320"/>
      <c r="O319" s="292"/>
    </row>
    <row r="320" spans="1:15" x14ac:dyDescent="0.2">
      <c r="A320" s="280"/>
      <c r="B320" s="100"/>
      <c r="C320" s="100"/>
      <c r="D320" s="100"/>
      <c r="E320" s="100"/>
      <c r="F320" s="100"/>
      <c r="G320" s="100"/>
      <c r="H320" s="297"/>
      <c r="I320" s="298"/>
      <c r="J320" s="320"/>
      <c r="K320" s="320"/>
      <c r="L320" s="335"/>
      <c r="M320" s="320"/>
      <c r="N320" s="320"/>
      <c r="O320" s="292"/>
    </row>
    <row r="321" spans="1:15" x14ac:dyDescent="0.2">
      <c r="A321" s="280"/>
      <c r="B321" s="100"/>
      <c r="C321" s="100"/>
      <c r="D321" s="100"/>
      <c r="E321" s="100"/>
      <c r="F321" s="100"/>
      <c r="G321" s="100"/>
      <c r="H321" s="297"/>
      <c r="I321" s="298"/>
      <c r="J321" s="320"/>
      <c r="K321" s="320"/>
      <c r="L321" s="335"/>
      <c r="M321" s="320"/>
      <c r="N321" s="320"/>
      <c r="O321" s="292"/>
    </row>
    <row r="322" spans="1:15" x14ac:dyDescent="0.2">
      <c r="A322" s="280"/>
      <c r="B322" s="100"/>
      <c r="C322" s="100"/>
      <c r="D322" s="100"/>
      <c r="E322" s="100"/>
      <c r="F322" s="100"/>
      <c r="G322" s="100"/>
      <c r="H322" s="297"/>
      <c r="I322" s="298"/>
      <c r="J322" s="320"/>
      <c r="K322" s="320"/>
      <c r="L322" s="335"/>
      <c r="M322" s="320"/>
      <c r="N322" s="320"/>
      <c r="O322" s="292"/>
    </row>
    <row r="323" spans="1:15" x14ac:dyDescent="0.2">
      <c r="A323" s="280"/>
      <c r="B323" s="100"/>
      <c r="C323" s="100"/>
      <c r="D323" s="100"/>
      <c r="E323" s="100"/>
      <c r="F323" s="100"/>
      <c r="G323" s="100"/>
      <c r="H323" s="297"/>
      <c r="I323" s="298"/>
      <c r="J323" s="320"/>
      <c r="K323" s="320"/>
      <c r="L323" s="335"/>
      <c r="M323" s="320"/>
      <c r="N323" s="320"/>
      <c r="O323" s="292"/>
    </row>
    <row r="324" spans="1:15" x14ac:dyDescent="0.2">
      <c r="A324" s="280"/>
      <c r="B324" s="100"/>
      <c r="C324" s="100"/>
      <c r="D324" s="100"/>
      <c r="E324" s="100"/>
      <c r="F324" s="100"/>
      <c r="G324" s="100"/>
      <c r="H324" s="297"/>
      <c r="I324" s="298"/>
      <c r="J324" s="320"/>
      <c r="K324" s="320"/>
      <c r="L324" s="335"/>
      <c r="M324" s="320"/>
      <c r="N324" s="320"/>
      <c r="O324" s="292"/>
    </row>
    <row r="325" spans="1:15" x14ac:dyDescent="0.2">
      <c r="A325" s="280"/>
      <c r="B325" s="100"/>
      <c r="C325" s="100"/>
      <c r="D325" s="100"/>
      <c r="E325" s="100"/>
      <c r="F325" s="100"/>
      <c r="G325" s="100"/>
      <c r="H325" s="297"/>
      <c r="I325" s="298"/>
      <c r="J325" s="320"/>
      <c r="K325" s="320"/>
      <c r="L325" s="335"/>
      <c r="M325" s="320"/>
      <c r="N325" s="320"/>
      <c r="O325" s="292"/>
    </row>
    <row r="326" spans="1:15" x14ac:dyDescent="0.2">
      <c r="A326" s="280"/>
      <c r="B326" s="100"/>
      <c r="C326" s="100"/>
      <c r="D326" s="100"/>
      <c r="E326" s="100"/>
      <c r="F326" s="100"/>
      <c r="G326" s="100"/>
      <c r="H326" s="297"/>
      <c r="I326" s="298"/>
      <c r="J326" s="320"/>
      <c r="K326" s="320"/>
      <c r="L326" s="335"/>
      <c r="M326" s="320"/>
      <c r="N326" s="320"/>
      <c r="O326" s="292"/>
    </row>
    <row r="327" spans="1:15" x14ac:dyDescent="0.2">
      <c r="A327" s="280"/>
      <c r="B327" s="100"/>
      <c r="C327" s="100"/>
      <c r="D327" s="100"/>
      <c r="E327" s="100"/>
      <c r="F327" s="100"/>
      <c r="G327" s="100"/>
      <c r="H327" s="297"/>
      <c r="I327" s="298"/>
      <c r="J327" s="320"/>
      <c r="K327" s="320"/>
      <c r="L327" s="335"/>
      <c r="M327" s="320"/>
      <c r="N327" s="320"/>
      <c r="O327" s="292"/>
    </row>
    <row r="328" spans="1:15" x14ac:dyDescent="0.2">
      <c r="A328" s="280"/>
      <c r="B328" s="100"/>
      <c r="C328" s="100"/>
      <c r="D328" s="100"/>
      <c r="E328" s="100"/>
      <c r="F328" s="100"/>
      <c r="G328" s="100"/>
      <c r="H328" s="297"/>
      <c r="I328" s="298"/>
      <c r="J328" s="320"/>
      <c r="K328" s="320"/>
      <c r="L328" s="335"/>
      <c r="M328" s="320"/>
      <c r="N328" s="320"/>
      <c r="O328" s="292"/>
    </row>
    <row r="329" spans="1:15" x14ac:dyDescent="0.2">
      <c r="A329" s="280"/>
      <c r="B329" s="100"/>
      <c r="C329" s="100"/>
      <c r="D329" s="100"/>
      <c r="E329" s="100"/>
      <c r="F329" s="100"/>
      <c r="G329" s="100"/>
      <c r="H329" s="297"/>
      <c r="I329" s="298"/>
      <c r="J329" s="320"/>
      <c r="K329" s="320"/>
      <c r="L329" s="335"/>
      <c r="M329" s="320"/>
      <c r="N329" s="320"/>
      <c r="O329" s="292"/>
    </row>
    <row r="330" spans="1:15" x14ac:dyDescent="0.2">
      <c r="A330" s="280"/>
      <c r="B330" s="100"/>
      <c r="C330" s="100"/>
      <c r="D330" s="100"/>
      <c r="E330" s="100"/>
      <c r="F330" s="100"/>
      <c r="G330" s="100"/>
      <c r="H330" s="297"/>
      <c r="I330" s="298"/>
      <c r="J330" s="320"/>
      <c r="K330" s="320"/>
      <c r="L330" s="335"/>
      <c r="M330" s="320"/>
      <c r="N330" s="320"/>
      <c r="O330" s="292"/>
    </row>
    <row r="331" spans="1:15" x14ac:dyDescent="0.2">
      <c r="A331" s="280"/>
      <c r="B331" s="100"/>
      <c r="C331" s="100"/>
      <c r="D331" s="100"/>
      <c r="E331" s="100"/>
      <c r="F331" s="100"/>
      <c r="G331" s="100"/>
      <c r="H331" s="297"/>
      <c r="I331" s="298"/>
      <c r="J331" s="320"/>
      <c r="K331" s="320"/>
      <c r="L331" s="335"/>
      <c r="M331" s="320"/>
      <c r="N331" s="320"/>
      <c r="O331" s="292"/>
    </row>
    <row r="332" spans="1:15" x14ac:dyDescent="0.2">
      <c r="A332" s="280"/>
      <c r="B332" s="100"/>
      <c r="C332" s="100"/>
      <c r="D332" s="100"/>
      <c r="E332" s="100"/>
      <c r="F332" s="100"/>
      <c r="G332" s="100"/>
      <c r="H332" s="297"/>
      <c r="I332" s="298"/>
      <c r="J332" s="320"/>
      <c r="K332" s="320"/>
      <c r="L332" s="335"/>
      <c r="M332" s="320"/>
      <c r="N332" s="320"/>
      <c r="O332" s="292"/>
    </row>
    <row r="333" spans="1:15" x14ac:dyDescent="0.2">
      <c r="A333" s="280"/>
      <c r="B333" s="100"/>
      <c r="C333" s="100"/>
      <c r="D333" s="100"/>
      <c r="E333" s="100"/>
      <c r="F333" s="100"/>
      <c r="G333" s="100"/>
      <c r="H333" s="297"/>
      <c r="I333" s="298"/>
      <c r="J333" s="320"/>
      <c r="K333" s="320"/>
      <c r="L333" s="335"/>
      <c r="M333" s="320"/>
      <c r="N333" s="320"/>
      <c r="O333" s="292"/>
    </row>
    <row r="334" spans="1:15" x14ac:dyDescent="0.2">
      <c r="A334" s="280"/>
      <c r="B334" s="100"/>
      <c r="C334" s="100"/>
      <c r="D334" s="100"/>
      <c r="E334" s="100"/>
      <c r="F334" s="100"/>
      <c r="G334" s="100"/>
      <c r="H334" s="297"/>
      <c r="I334" s="298"/>
      <c r="J334" s="320"/>
      <c r="K334" s="320"/>
      <c r="L334" s="335"/>
      <c r="M334" s="320"/>
      <c r="N334" s="320"/>
      <c r="O334" s="292"/>
    </row>
    <row r="335" spans="1:15" x14ac:dyDescent="0.2">
      <c r="A335" s="280"/>
      <c r="B335" s="100"/>
      <c r="C335" s="100"/>
      <c r="D335" s="100"/>
      <c r="E335" s="100"/>
      <c r="F335" s="100"/>
      <c r="G335" s="100"/>
      <c r="H335" s="297"/>
      <c r="I335" s="298"/>
      <c r="J335" s="320"/>
      <c r="K335" s="320"/>
      <c r="L335" s="335"/>
      <c r="M335" s="320"/>
      <c r="N335" s="320"/>
      <c r="O335" s="292"/>
    </row>
    <row r="336" spans="1:15" x14ac:dyDescent="0.2">
      <c r="A336" s="280"/>
      <c r="B336" s="100"/>
      <c r="C336" s="100"/>
      <c r="D336" s="100"/>
      <c r="E336" s="100"/>
      <c r="F336" s="100"/>
      <c r="G336" s="100"/>
      <c r="H336" s="297"/>
      <c r="I336" s="298"/>
      <c r="J336" s="320"/>
      <c r="K336" s="320"/>
      <c r="L336" s="335"/>
      <c r="M336" s="320"/>
      <c r="N336" s="320"/>
      <c r="O336" s="292"/>
    </row>
    <row r="337" spans="1:15" x14ac:dyDescent="0.2">
      <c r="A337" s="280"/>
      <c r="B337" s="100"/>
      <c r="C337" s="100"/>
      <c r="D337" s="100"/>
      <c r="E337" s="100"/>
      <c r="F337" s="100"/>
      <c r="G337" s="100"/>
      <c r="H337" s="297"/>
      <c r="I337" s="298"/>
      <c r="J337" s="320"/>
      <c r="K337" s="320"/>
      <c r="L337" s="335"/>
      <c r="M337" s="320"/>
      <c r="N337" s="320"/>
      <c r="O337" s="292"/>
    </row>
    <row r="338" spans="1:15" x14ac:dyDescent="0.2">
      <c r="A338" s="280"/>
      <c r="B338" s="100"/>
      <c r="C338" s="100"/>
      <c r="D338" s="100"/>
      <c r="E338" s="100"/>
      <c r="F338" s="100"/>
      <c r="G338" s="100"/>
      <c r="H338" s="297"/>
      <c r="I338" s="298"/>
      <c r="J338" s="320"/>
      <c r="K338" s="320"/>
      <c r="L338" s="335"/>
      <c r="M338" s="320"/>
      <c r="N338" s="320"/>
      <c r="O338" s="292"/>
    </row>
    <row r="339" spans="1:15" x14ac:dyDescent="0.2">
      <c r="A339" s="280"/>
      <c r="B339" s="100"/>
      <c r="C339" s="100"/>
      <c r="D339" s="100"/>
      <c r="E339" s="100"/>
      <c r="F339" s="100"/>
      <c r="G339" s="100"/>
      <c r="H339" s="297"/>
      <c r="I339" s="298"/>
      <c r="J339" s="320"/>
      <c r="K339" s="320"/>
      <c r="L339" s="335"/>
      <c r="M339" s="320"/>
      <c r="N339" s="320"/>
      <c r="O339" s="292"/>
    </row>
    <row r="340" spans="1:15" x14ac:dyDescent="0.2">
      <c r="A340" s="280"/>
      <c r="B340" s="100"/>
      <c r="C340" s="100"/>
      <c r="D340" s="100"/>
      <c r="E340" s="100"/>
      <c r="F340" s="100"/>
      <c r="G340" s="100"/>
      <c r="H340" s="297"/>
      <c r="I340" s="298"/>
      <c r="J340" s="320"/>
      <c r="K340" s="320"/>
      <c r="L340" s="335"/>
      <c r="M340" s="320"/>
      <c r="N340" s="320"/>
      <c r="O340" s="292"/>
    </row>
    <row r="341" spans="1:15" x14ac:dyDescent="0.2">
      <c r="A341" s="280"/>
      <c r="B341" s="100"/>
      <c r="C341" s="100"/>
      <c r="D341" s="100"/>
      <c r="E341" s="100"/>
      <c r="F341" s="100"/>
      <c r="G341" s="100"/>
      <c r="H341" s="297"/>
      <c r="I341" s="298"/>
      <c r="J341" s="320"/>
      <c r="K341" s="320"/>
      <c r="L341" s="335"/>
      <c r="M341" s="320"/>
      <c r="N341" s="320"/>
      <c r="O341" s="292"/>
    </row>
    <row r="342" spans="1:15" x14ac:dyDescent="0.2">
      <c r="A342" s="280"/>
      <c r="B342" s="100"/>
      <c r="C342" s="100"/>
      <c r="D342" s="100"/>
      <c r="E342" s="100"/>
      <c r="F342" s="100"/>
      <c r="G342" s="100"/>
      <c r="H342" s="297"/>
      <c r="I342" s="298"/>
      <c r="J342" s="320"/>
      <c r="K342" s="320"/>
      <c r="L342" s="335"/>
      <c r="M342" s="320"/>
      <c r="N342" s="320"/>
      <c r="O342" s="292"/>
    </row>
    <row r="343" spans="1:15" x14ac:dyDescent="0.2">
      <c r="A343" s="280"/>
      <c r="B343" s="100"/>
      <c r="C343" s="100"/>
      <c r="D343" s="100"/>
      <c r="E343" s="100"/>
      <c r="F343" s="100"/>
      <c r="G343" s="100"/>
      <c r="H343" s="297"/>
      <c r="I343" s="298"/>
      <c r="J343" s="320"/>
      <c r="K343" s="320"/>
      <c r="L343" s="335"/>
      <c r="M343" s="320"/>
      <c r="N343" s="320"/>
      <c r="O343" s="292"/>
    </row>
    <row r="344" spans="1:15" x14ac:dyDescent="0.2">
      <c r="A344" s="280"/>
      <c r="B344" s="100"/>
      <c r="C344" s="100"/>
      <c r="D344" s="100"/>
      <c r="E344" s="100"/>
      <c r="F344" s="100"/>
      <c r="G344" s="100"/>
      <c r="H344" s="297"/>
      <c r="I344" s="298"/>
      <c r="J344" s="320"/>
      <c r="K344" s="320"/>
      <c r="L344" s="335"/>
      <c r="M344" s="320"/>
      <c r="N344" s="320"/>
      <c r="O344" s="292"/>
    </row>
    <row r="345" spans="1:15" x14ac:dyDescent="0.2">
      <c r="A345" s="280"/>
      <c r="B345" s="100"/>
      <c r="C345" s="100"/>
      <c r="D345" s="100"/>
      <c r="E345" s="100"/>
      <c r="F345" s="100"/>
      <c r="G345" s="100"/>
      <c r="H345" s="297"/>
      <c r="I345" s="298"/>
      <c r="J345" s="320"/>
      <c r="K345" s="320"/>
      <c r="L345" s="335"/>
      <c r="M345" s="320"/>
      <c r="N345" s="320"/>
      <c r="O345" s="292"/>
    </row>
    <row r="346" spans="1:15" x14ac:dyDescent="0.2">
      <c r="A346" s="280"/>
      <c r="B346" s="100"/>
      <c r="C346" s="100"/>
      <c r="D346" s="100"/>
      <c r="E346" s="100"/>
      <c r="F346" s="100"/>
      <c r="G346" s="100"/>
      <c r="H346" s="297"/>
      <c r="I346" s="298"/>
      <c r="J346" s="320"/>
      <c r="K346" s="320"/>
      <c r="L346" s="335"/>
      <c r="M346" s="320"/>
      <c r="N346" s="320"/>
      <c r="O346" s="292"/>
    </row>
    <row r="347" spans="1:15" x14ac:dyDescent="0.2">
      <c r="A347" s="280"/>
      <c r="B347" s="100"/>
      <c r="C347" s="100"/>
      <c r="D347" s="100"/>
      <c r="E347" s="100"/>
      <c r="F347" s="100"/>
      <c r="G347" s="100"/>
      <c r="H347" s="297"/>
      <c r="I347" s="298"/>
      <c r="J347" s="320"/>
      <c r="K347" s="320"/>
      <c r="L347" s="335"/>
      <c r="M347" s="320"/>
      <c r="N347" s="320"/>
      <c r="O347" s="292"/>
    </row>
    <row r="348" spans="1:15" x14ac:dyDescent="0.2">
      <c r="A348" s="280"/>
      <c r="B348" s="100"/>
      <c r="C348" s="100"/>
      <c r="D348" s="100"/>
      <c r="E348" s="100"/>
      <c r="F348" s="100"/>
      <c r="G348" s="100"/>
      <c r="H348" s="297"/>
      <c r="I348" s="298"/>
      <c r="J348" s="320"/>
      <c r="K348" s="320"/>
      <c r="L348" s="335"/>
      <c r="M348" s="320"/>
      <c r="N348" s="320"/>
      <c r="O348" s="292"/>
    </row>
    <row r="349" spans="1:15" x14ac:dyDescent="0.2">
      <c r="A349" s="280"/>
      <c r="B349" s="100"/>
      <c r="C349" s="100"/>
      <c r="D349" s="100"/>
      <c r="E349" s="100"/>
      <c r="F349" s="100"/>
      <c r="G349" s="100"/>
      <c r="H349" s="297"/>
      <c r="I349" s="298"/>
      <c r="J349" s="320"/>
      <c r="K349" s="320"/>
      <c r="L349" s="335"/>
      <c r="M349" s="320"/>
      <c r="N349" s="320"/>
      <c r="O349" s="292"/>
    </row>
    <row r="350" spans="1:15" x14ac:dyDescent="0.2">
      <c r="A350" s="280"/>
      <c r="B350" s="100"/>
      <c r="C350" s="100"/>
      <c r="D350" s="100"/>
      <c r="E350" s="100"/>
      <c r="F350" s="100"/>
      <c r="G350" s="100"/>
      <c r="H350" s="297"/>
      <c r="I350" s="298"/>
      <c r="J350" s="320"/>
      <c r="K350" s="320"/>
      <c r="L350" s="335"/>
      <c r="M350" s="320"/>
      <c r="N350" s="320"/>
      <c r="O350" s="292"/>
    </row>
    <row r="351" spans="1:15" x14ac:dyDescent="0.2">
      <c r="A351" s="280"/>
      <c r="B351" s="100"/>
      <c r="C351" s="100"/>
      <c r="D351" s="100"/>
      <c r="E351" s="100"/>
      <c r="F351" s="100"/>
      <c r="G351" s="100"/>
      <c r="H351" s="297"/>
      <c r="I351" s="298"/>
      <c r="J351" s="320"/>
      <c r="K351" s="320"/>
      <c r="L351" s="335"/>
      <c r="M351" s="320"/>
      <c r="N351" s="320"/>
      <c r="O351" s="292"/>
    </row>
    <row r="352" spans="1:15" x14ac:dyDescent="0.2">
      <c r="A352" s="280"/>
      <c r="B352" s="100"/>
      <c r="C352" s="100"/>
      <c r="D352" s="100"/>
      <c r="E352" s="100"/>
      <c r="F352" s="100"/>
      <c r="G352" s="100"/>
      <c r="H352" s="297"/>
      <c r="I352" s="298"/>
      <c r="J352" s="320"/>
      <c r="K352" s="320"/>
      <c r="L352" s="335"/>
      <c r="M352" s="320"/>
      <c r="N352" s="320"/>
      <c r="O352" s="292"/>
    </row>
    <row r="353" spans="1:15" x14ac:dyDescent="0.2">
      <c r="A353" s="280"/>
      <c r="B353" s="100"/>
      <c r="C353" s="100"/>
      <c r="D353" s="100"/>
      <c r="E353" s="100"/>
      <c r="F353" s="100"/>
      <c r="G353" s="100"/>
      <c r="H353" s="297"/>
      <c r="I353" s="298"/>
      <c r="J353" s="320"/>
      <c r="K353" s="320"/>
      <c r="L353" s="335"/>
      <c r="M353" s="320"/>
      <c r="N353" s="320"/>
      <c r="O353" s="292"/>
    </row>
    <row r="354" spans="1:15" x14ac:dyDescent="0.2">
      <c r="A354" s="280"/>
      <c r="B354" s="100"/>
      <c r="C354" s="100"/>
      <c r="D354" s="100"/>
      <c r="E354" s="100"/>
      <c r="F354" s="100"/>
      <c r="G354" s="100"/>
      <c r="H354" s="297"/>
      <c r="I354" s="298"/>
      <c r="J354" s="320"/>
      <c r="K354" s="320"/>
      <c r="L354" s="335"/>
      <c r="M354" s="320"/>
      <c r="N354" s="320"/>
      <c r="O354" s="292"/>
    </row>
    <row r="355" spans="1:15" x14ac:dyDescent="0.2">
      <c r="A355" s="280"/>
      <c r="B355" s="100"/>
      <c r="C355" s="100"/>
      <c r="D355" s="100"/>
      <c r="E355" s="100"/>
      <c r="F355" s="100"/>
      <c r="G355" s="100"/>
      <c r="H355" s="297"/>
      <c r="I355" s="298"/>
      <c r="J355" s="320"/>
      <c r="K355" s="320"/>
      <c r="L355" s="335"/>
      <c r="M355" s="320"/>
      <c r="N355" s="320"/>
      <c r="O355" s="292"/>
    </row>
    <row r="356" spans="1:15" x14ac:dyDescent="0.2">
      <c r="A356" s="280"/>
      <c r="B356" s="100"/>
      <c r="C356" s="100"/>
      <c r="D356" s="100"/>
      <c r="E356" s="100"/>
      <c r="F356" s="100"/>
      <c r="G356" s="100"/>
      <c r="H356" s="297"/>
      <c r="I356" s="298"/>
      <c r="J356" s="320"/>
      <c r="K356" s="320"/>
      <c r="L356" s="335"/>
      <c r="M356" s="320"/>
      <c r="N356" s="320"/>
      <c r="O356" s="292"/>
    </row>
    <row r="357" spans="1:15" x14ac:dyDescent="0.2">
      <c r="A357" s="280"/>
      <c r="B357" s="100"/>
      <c r="C357" s="100"/>
      <c r="D357" s="100"/>
      <c r="E357" s="100"/>
      <c r="F357" s="100"/>
      <c r="G357" s="100"/>
      <c r="H357" s="297"/>
      <c r="I357" s="298"/>
      <c r="J357" s="320"/>
      <c r="K357" s="320"/>
      <c r="L357" s="335"/>
      <c r="M357" s="320"/>
      <c r="N357" s="320"/>
      <c r="O357" s="292"/>
    </row>
    <row r="358" spans="1:15" x14ac:dyDescent="0.2">
      <c r="A358" s="280"/>
      <c r="B358" s="100"/>
      <c r="C358" s="100"/>
      <c r="D358" s="100"/>
      <c r="E358" s="100"/>
      <c r="F358" s="100"/>
      <c r="G358" s="100"/>
      <c r="H358" s="297"/>
      <c r="I358" s="298"/>
      <c r="J358" s="320"/>
      <c r="K358" s="320"/>
      <c r="L358" s="335"/>
      <c r="M358" s="320"/>
      <c r="N358" s="320"/>
      <c r="O358" s="292"/>
    </row>
    <row r="359" spans="1:15" x14ac:dyDescent="0.2">
      <c r="A359" s="280"/>
      <c r="B359" s="100"/>
      <c r="C359" s="100"/>
      <c r="D359" s="100"/>
      <c r="E359" s="100"/>
      <c r="F359" s="100"/>
      <c r="G359" s="100"/>
      <c r="H359" s="297"/>
      <c r="I359" s="298"/>
      <c r="J359" s="320"/>
      <c r="K359" s="320"/>
      <c r="L359" s="335"/>
      <c r="M359" s="320"/>
      <c r="N359" s="320"/>
      <c r="O359" s="292"/>
    </row>
    <row r="360" spans="1:15" x14ac:dyDescent="0.2">
      <c r="A360" s="280"/>
      <c r="B360" s="100"/>
      <c r="C360" s="100"/>
      <c r="D360" s="100"/>
      <c r="E360" s="100"/>
      <c r="F360" s="100"/>
      <c r="G360" s="100"/>
      <c r="H360" s="297"/>
      <c r="I360" s="298"/>
      <c r="J360" s="320"/>
      <c r="K360" s="320"/>
      <c r="L360" s="335"/>
      <c r="M360" s="320"/>
      <c r="N360" s="320"/>
      <c r="O360" s="292"/>
    </row>
    <row r="361" spans="1:15" x14ac:dyDescent="0.2">
      <c r="A361" s="280"/>
      <c r="B361" s="100"/>
      <c r="C361" s="100"/>
      <c r="D361" s="100"/>
      <c r="E361" s="100"/>
      <c r="F361" s="100"/>
      <c r="G361" s="100"/>
      <c r="H361" s="297"/>
      <c r="I361" s="298"/>
      <c r="J361" s="320"/>
      <c r="K361" s="320"/>
      <c r="L361" s="335"/>
      <c r="M361" s="320"/>
      <c r="N361" s="320"/>
      <c r="O361" s="292"/>
    </row>
    <row r="362" spans="1:15" x14ac:dyDescent="0.2">
      <c r="A362" s="280"/>
      <c r="B362" s="100"/>
      <c r="C362" s="100"/>
      <c r="D362" s="100"/>
      <c r="E362" s="100"/>
      <c r="F362" s="100"/>
      <c r="G362" s="100"/>
      <c r="H362" s="297"/>
      <c r="I362" s="298"/>
      <c r="J362" s="320"/>
      <c r="K362" s="320"/>
      <c r="L362" s="335"/>
      <c r="M362" s="320"/>
      <c r="N362" s="320"/>
      <c r="O362" s="292"/>
    </row>
    <row r="363" spans="1:15" x14ac:dyDescent="0.2">
      <c r="A363" s="280"/>
      <c r="B363" s="100"/>
      <c r="C363" s="100"/>
      <c r="D363" s="100"/>
      <c r="E363" s="100"/>
      <c r="F363" s="100"/>
      <c r="G363" s="100"/>
      <c r="H363" s="297"/>
      <c r="I363" s="298"/>
      <c r="J363" s="320"/>
      <c r="K363" s="320"/>
      <c r="L363" s="335"/>
      <c r="M363" s="320"/>
      <c r="N363" s="320"/>
      <c r="O363" s="292"/>
    </row>
    <row r="364" spans="1:15" x14ac:dyDescent="0.2">
      <c r="A364" s="280"/>
      <c r="B364" s="100"/>
      <c r="C364" s="100"/>
      <c r="D364" s="100"/>
      <c r="E364" s="100"/>
      <c r="F364" s="100"/>
      <c r="G364" s="100"/>
      <c r="H364" s="297"/>
      <c r="I364" s="298"/>
      <c r="J364" s="320"/>
      <c r="K364" s="320"/>
      <c r="L364" s="335"/>
      <c r="M364" s="320"/>
      <c r="N364" s="320"/>
      <c r="O364" s="292"/>
    </row>
    <row r="365" spans="1:15" x14ac:dyDescent="0.2">
      <c r="A365" s="280"/>
      <c r="B365" s="100"/>
      <c r="C365" s="100"/>
      <c r="D365" s="100"/>
      <c r="E365" s="100"/>
      <c r="F365" s="100"/>
      <c r="G365" s="100"/>
      <c r="H365" s="297"/>
      <c r="I365" s="298"/>
      <c r="J365" s="320"/>
      <c r="K365" s="320"/>
      <c r="L365" s="335"/>
      <c r="M365" s="320"/>
      <c r="N365" s="320"/>
      <c r="O365" s="292"/>
    </row>
    <row r="366" spans="1:15" x14ac:dyDescent="0.2">
      <c r="A366" s="280"/>
      <c r="B366" s="100"/>
      <c r="C366" s="100"/>
      <c r="D366" s="100"/>
      <c r="E366" s="100"/>
      <c r="F366" s="100"/>
      <c r="G366" s="100"/>
      <c r="H366" s="297"/>
      <c r="I366" s="298"/>
      <c r="J366" s="320"/>
      <c r="K366" s="320"/>
      <c r="L366" s="335"/>
      <c r="M366" s="320"/>
      <c r="N366" s="320"/>
      <c r="O366" s="292"/>
    </row>
    <row r="367" spans="1:15" x14ac:dyDescent="0.2">
      <c r="A367" s="280"/>
      <c r="B367" s="100"/>
      <c r="C367" s="100"/>
      <c r="D367" s="100"/>
      <c r="E367" s="100"/>
      <c r="F367" s="100"/>
      <c r="G367" s="100"/>
      <c r="H367" s="297"/>
      <c r="I367" s="298"/>
      <c r="J367" s="320"/>
      <c r="K367" s="320"/>
      <c r="L367" s="335"/>
      <c r="M367" s="320"/>
      <c r="N367" s="320"/>
      <c r="O367" s="292"/>
    </row>
    <row r="368" spans="1:15" x14ac:dyDescent="0.2">
      <c r="A368" s="280"/>
      <c r="B368" s="100"/>
      <c r="C368" s="100"/>
      <c r="D368" s="100"/>
      <c r="E368" s="100"/>
      <c r="F368" s="100"/>
      <c r="G368" s="100"/>
      <c r="H368" s="297"/>
      <c r="I368" s="298"/>
      <c r="J368" s="320"/>
      <c r="K368" s="320"/>
      <c r="L368" s="335"/>
      <c r="M368" s="320"/>
      <c r="N368" s="320"/>
      <c r="O368" s="292"/>
    </row>
    <row r="369" spans="1:15" x14ac:dyDescent="0.2">
      <c r="A369" s="280"/>
      <c r="B369" s="100"/>
      <c r="C369" s="100"/>
      <c r="D369" s="100"/>
      <c r="E369" s="100"/>
      <c r="F369" s="100"/>
      <c r="G369" s="100"/>
      <c r="H369" s="297"/>
      <c r="I369" s="298"/>
      <c r="J369" s="320"/>
      <c r="K369" s="320"/>
      <c r="L369" s="335"/>
      <c r="M369" s="320"/>
      <c r="N369" s="320"/>
      <c r="O369" s="292"/>
    </row>
    <row r="370" spans="1:15" x14ac:dyDescent="0.2">
      <c r="A370" s="280"/>
      <c r="B370" s="100"/>
      <c r="C370" s="100"/>
      <c r="D370" s="100"/>
      <c r="E370" s="100"/>
      <c r="F370" s="100"/>
      <c r="G370" s="100"/>
      <c r="H370" s="297"/>
      <c r="I370" s="298"/>
      <c r="J370" s="320"/>
      <c r="K370" s="320"/>
      <c r="L370" s="335"/>
      <c r="M370" s="320"/>
      <c r="N370" s="320"/>
      <c r="O370" s="292"/>
    </row>
    <row r="371" spans="1:15" x14ac:dyDescent="0.2">
      <c r="A371" s="280"/>
      <c r="B371" s="100"/>
      <c r="C371" s="100"/>
      <c r="D371" s="100"/>
      <c r="E371" s="100"/>
      <c r="F371" s="100"/>
      <c r="G371" s="100"/>
      <c r="H371" s="297"/>
      <c r="I371" s="298"/>
      <c r="J371" s="320"/>
      <c r="K371" s="320"/>
      <c r="L371" s="335"/>
      <c r="M371" s="320"/>
      <c r="N371" s="320"/>
      <c r="O371" s="292"/>
    </row>
    <row r="372" spans="1:15" x14ac:dyDescent="0.2">
      <c r="A372" s="280"/>
      <c r="B372" s="100"/>
      <c r="C372" s="100"/>
      <c r="D372" s="100"/>
      <c r="E372" s="100"/>
      <c r="F372" s="100"/>
      <c r="G372" s="100"/>
      <c r="H372" s="297"/>
      <c r="I372" s="298"/>
      <c r="J372" s="320"/>
      <c r="K372" s="320"/>
      <c r="L372" s="335"/>
      <c r="M372" s="320"/>
      <c r="N372" s="320"/>
      <c r="O372" s="292"/>
    </row>
    <row r="373" spans="1:15" x14ac:dyDescent="0.2">
      <c r="A373" s="280"/>
      <c r="B373" s="100"/>
      <c r="C373" s="100"/>
      <c r="D373" s="100"/>
      <c r="E373" s="100"/>
      <c r="F373" s="100"/>
      <c r="G373" s="100"/>
      <c r="H373" s="297"/>
      <c r="I373" s="298"/>
      <c r="J373" s="320"/>
      <c r="K373" s="320"/>
      <c r="L373" s="335"/>
      <c r="M373" s="320"/>
      <c r="N373" s="320"/>
      <c r="O373" s="292"/>
    </row>
    <row r="374" spans="1:15" x14ac:dyDescent="0.2">
      <c r="A374" s="280"/>
      <c r="B374" s="100"/>
      <c r="C374" s="100"/>
      <c r="D374" s="100"/>
      <c r="E374" s="100"/>
      <c r="F374" s="100"/>
      <c r="G374" s="100"/>
      <c r="H374" s="297"/>
      <c r="I374" s="298"/>
      <c r="J374" s="320"/>
      <c r="K374" s="320"/>
      <c r="L374" s="335"/>
      <c r="M374" s="320"/>
      <c r="N374" s="320"/>
      <c r="O374" s="292"/>
    </row>
    <row r="375" spans="1:15" x14ac:dyDescent="0.2">
      <c r="A375" s="280"/>
      <c r="B375" s="100"/>
      <c r="C375" s="100"/>
      <c r="D375" s="100"/>
      <c r="E375" s="100"/>
      <c r="F375" s="100"/>
      <c r="G375" s="100"/>
      <c r="H375" s="297"/>
      <c r="I375" s="298"/>
      <c r="J375" s="320"/>
      <c r="K375" s="320"/>
      <c r="L375" s="335"/>
      <c r="M375" s="320"/>
      <c r="N375" s="320"/>
      <c r="O375" s="292"/>
    </row>
    <row r="376" spans="1:15" x14ac:dyDescent="0.2">
      <c r="A376" s="280"/>
      <c r="B376" s="100"/>
      <c r="C376" s="100"/>
      <c r="D376" s="100"/>
      <c r="E376" s="100"/>
      <c r="F376" s="100"/>
      <c r="G376" s="100"/>
      <c r="H376" s="297"/>
      <c r="I376" s="298"/>
      <c r="J376" s="320"/>
      <c r="K376" s="320"/>
      <c r="L376" s="335"/>
      <c r="M376" s="320"/>
      <c r="N376" s="320"/>
      <c r="O376" s="292"/>
    </row>
    <row r="377" spans="1:15" x14ac:dyDescent="0.2">
      <c r="A377" s="280"/>
      <c r="B377" s="100"/>
      <c r="C377" s="100"/>
      <c r="D377" s="100"/>
      <c r="E377" s="100"/>
      <c r="F377" s="100"/>
      <c r="G377" s="100"/>
      <c r="H377" s="297"/>
      <c r="I377" s="298"/>
      <c r="J377" s="320"/>
      <c r="K377" s="320"/>
      <c r="L377" s="335"/>
      <c r="M377" s="320"/>
      <c r="N377" s="320"/>
      <c r="O377" s="292"/>
    </row>
    <row r="378" spans="1:15" x14ac:dyDescent="0.2">
      <c r="A378" s="280"/>
      <c r="B378" s="100"/>
      <c r="C378" s="100"/>
      <c r="D378" s="100"/>
      <c r="E378" s="100"/>
      <c r="F378" s="100"/>
      <c r="G378" s="100"/>
      <c r="H378" s="297"/>
      <c r="I378" s="298"/>
      <c r="J378" s="320"/>
      <c r="K378" s="320"/>
      <c r="L378" s="335"/>
      <c r="M378" s="320"/>
      <c r="N378" s="320"/>
      <c r="O378" s="292"/>
    </row>
    <row r="379" spans="1:15" x14ac:dyDescent="0.2">
      <c r="A379" s="280"/>
      <c r="B379" s="100"/>
      <c r="C379" s="100"/>
      <c r="D379" s="100"/>
      <c r="E379" s="100"/>
      <c r="F379" s="100"/>
      <c r="G379" s="100"/>
      <c r="H379" s="297"/>
      <c r="I379" s="298"/>
      <c r="J379" s="320"/>
      <c r="K379" s="320"/>
      <c r="L379" s="335"/>
      <c r="M379" s="320"/>
      <c r="N379" s="320"/>
      <c r="O379" s="292"/>
    </row>
    <row r="380" spans="1:15" x14ac:dyDescent="0.2">
      <c r="A380" s="280"/>
      <c r="B380" s="100"/>
      <c r="C380" s="100"/>
      <c r="D380" s="100"/>
      <c r="E380" s="100"/>
      <c r="F380" s="100"/>
      <c r="G380" s="100"/>
      <c r="H380" s="297"/>
      <c r="I380" s="298"/>
      <c r="J380" s="320"/>
      <c r="K380" s="320"/>
      <c r="L380" s="335"/>
      <c r="M380" s="320"/>
      <c r="N380" s="320"/>
      <c r="O380" s="292"/>
    </row>
    <row r="381" spans="1:15" x14ac:dyDescent="0.2">
      <c r="A381" s="280"/>
      <c r="B381" s="100"/>
      <c r="C381" s="100"/>
      <c r="D381" s="100"/>
      <c r="E381" s="100"/>
      <c r="F381" s="100"/>
      <c r="G381" s="100"/>
      <c r="H381" s="297"/>
      <c r="I381" s="298"/>
      <c r="J381" s="320"/>
      <c r="K381" s="320"/>
      <c r="L381" s="335"/>
      <c r="M381" s="320"/>
      <c r="N381" s="320"/>
      <c r="O381" s="292"/>
    </row>
    <row r="382" spans="1:15" x14ac:dyDescent="0.2">
      <c r="A382" s="280"/>
      <c r="B382" s="100"/>
      <c r="C382" s="100"/>
      <c r="D382" s="100"/>
      <c r="E382" s="100"/>
      <c r="F382" s="100"/>
      <c r="G382" s="100"/>
      <c r="H382" s="297"/>
      <c r="I382" s="298"/>
      <c r="J382" s="320"/>
      <c r="K382" s="320"/>
      <c r="L382" s="335"/>
      <c r="M382" s="320"/>
      <c r="N382" s="320"/>
      <c r="O382" s="292"/>
    </row>
    <row r="383" spans="1:15" x14ac:dyDescent="0.2">
      <c r="A383" s="280"/>
      <c r="B383" s="100"/>
      <c r="C383" s="100"/>
      <c r="D383" s="100"/>
      <c r="E383" s="100"/>
      <c r="F383" s="100"/>
      <c r="G383" s="100"/>
      <c r="H383" s="297"/>
      <c r="I383" s="298"/>
      <c r="J383" s="320"/>
      <c r="K383" s="320"/>
      <c r="L383" s="335"/>
      <c r="M383" s="320"/>
      <c r="N383" s="320"/>
      <c r="O383" s="292"/>
    </row>
    <row r="384" spans="1:15" x14ac:dyDescent="0.2">
      <c r="A384" s="280"/>
      <c r="B384" s="100"/>
      <c r="C384" s="100"/>
      <c r="D384" s="100"/>
      <c r="E384" s="100"/>
      <c r="F384" s="100"/>
      <c r="G384" s="100"/>
      <c r="H384" s="297"/>
      <c r="I384" s="298"/>
      <c r="J384" s="320"/>
      <c r="K384" s="320"/>
      <c r="L384" s="335"/>
      <c r="M384" s="320"/>
      <c r="N384" s="320"/>
      <c r="O384" s="292"/>
    </row>
    <row r="385" spans="1:15" x14ac:dyDescent="0.2">
      <c r="A385" s="280"/>
      <c r="B385" s="100"/>
      <c r="C385" s="100"/>
      <c r="D385" s="100"/>
      <c r="E385" s="100"/>
      <c r="F385" s="100"/>
      <c r="G385" s="100"/>
      <c r="H385" s="297"/>
      <c r="I385" s="298"/>
      <c r="J385" s="320"/>
      <c r="K385" s="320"/>
      <c r="L385" s="335"/>
      <c r="M385" s="320"/>
      <c r="N385" s="320"/>
      <c r="O385" s="292"/>
    </row>
    <row r="386" spans="1:15" x14ac:dyDescent="0.2">
      <c r="A386" s="280"/>
      <c r="B386" s="100"/>
      <c r="C386" s="100"/>
      <c r="D386" s="100"/>
      <c r="E386" s="100"/>
      <c r="F386" s="100"/>
      <c r="G386" s="100"/>
      <c r="H386" s="297"/>
      <c r="I386" s="298"/>
      <c r="J386" s="320"/>
      <c r="K386" s="320"/>
      <c r="L386" s="335"/>
      <c r="M386" s="320"/>
      <c r="N386" s="320"/>
      <c r="O386" s="292"/>
    </row>
    <row r="387" spans="1:15" x14ac:dyDescent="0.2">
      <c r="A387" s="280"/>
      <c r="B387" s="100"/>
      <c r="C387" s="100"/>
      <c r="D387" s="100"/>
      <c r="E387" s="100"/>
      <c r="F387" s="100"/>
      <c r="G387" s="100"/>
      <c r="H387" s="297"/>
      <c r="I387" s="298"/>
      <c r="J387" s="320"/>
      <c r="K387" s="320"/>
      <c r="L387" s="335"/>
      <c r="M387" s="320"/>
      <c r="N387" s="320"/>
      <c r="O387" s="292"/>
    </row>
    <row r="388" spans="1:15" x14ac:dyDescent="0.2">
      <c r="A388" s="280"/>
      <c r="B388" s="100"/>
      <c r="C388" s="100"/>
      <c r="D388" s="100"/>
      <c r="E388" s="100"/>
      <c r="F388" s="100"/>
      <c r="G388" s="100"/>
      <c r="H388" s="297"/>
      <c r="I388" s="298"/>
      <c r="J388" s="320"/>
      <c r="K388" s="320"/>
      <c r="L388" s="335"/>
      <c r="M388" s="320"/>
      <c r="N388" s="320"/>
      <c r="O388" s="292"/>
    </row>
    <row r="389" spans="1:15" x14ac:dyDescent="0.2">
      <c r="A389" s="280"/>
      <c r="B389" s="100"/>
      <c r="C389" s="100"/>
      <c r="D389" s="100"/>
      <c r="E389" s="100"/>
      <c r="F389" s="100"/>
      <c r="G389" s="100"/>
      <c r="H389" s="297"/>
      <c r="I389" s="298"/>
      <c r="J389" s="320"/>
      <c r="K389" s="320"/>
      <c r="L389" s="335"/>
      <c r="M389" s="320"/>
      <c r="N389" s="320"/>
      <c r="O389" s="292"/>
    </row>
    <row r="390" spans="1:15" x14ac:dyDescent="0.2">
      <c r="A390" s="280"/>
      <c r="B390" s="100"/>
      <c r="C390" s="100"/>
      <c r="D390" s="100"/>
      <c r="E390" s="100"/>
      <c r="F390" s="100"/>
      <c r="G390" s="100"/>
      <c r="H390" s="297"/>
      <c r="I390" s="298"/>
      <c r="J390" s="320"/>
      <c r="K390" s="320"/>
      <c r="L390" s="335"/>
      <c r="M390" s="320"/>
      <c r="N390" s="320"/>
      <c r="O390" s="292"/>
    </row>
    <row r="391" spans="1:15" x14ac:dyDescent="0.2">
      <c r="A391" s="280"/>
      <c r="B391" s="100"/>
      <c r="C391" s="100"/>
      <c r="D391" s="100"/>
      <c r="E391" s="100"/>
      <c r="F391" s="100"/>
      <c r="G391" s="100"/>
      <c r="H391" s="297"/>
      <c r="I391" s="298"/>
      <c r="J391" s="320"/>
      <c r="K391" s="320"/>
      <c r="L391" s="335"/>
      <c r="M391" s="320"/>
      <c r="N391" s="320"/>
      <c r="O391" s="292"/>
    </row>
    <row r="392" spans="1:15" x14ac:dyDescent="0.2">
      <c r="A392" s="280"/>
      <c r="B392" s="100"/>
      <c r="C392" s="100"/>
      <c r="D392" s="100"/>
      <c r="E392" s="100"/>
      <c r="F392" s="100"/>
      <c r="G392" s="100"/>
      <c r="H392" s="297"/>
      <c r="I392" s="298"/>
      <c r="J392" s="320"/>
      <c r="K392" s="320"/>
      <c r="L392" s="335"/>
      <c r="M392" s="320"/>
      <c r="N392" s="320"/>
      <c r="O392" s="292"/>
    </row>
    <row r="393" spans="1:15" x14ac:dyDescent="0.2">
      <c r="A393" s="280"/>
      <c r="B393" s="100"/>
      <c r="C393" s="100"/>
      <c r="D393" s="100"/>
      <c r="E393" s="100"/>
      <c r="F393" s="100"/>
      <c r="G393" s="100"/>
      <c r="H393" s="297"/>
      <c r="I393" s="298"/>
      <c r="J393" s="320"/>
      <c r="K393" s="320"/>
      <c r="L393" s="335"/>
      <c r="M393" s="320"/>
      <c r="N393" s="320"/>
      <c r="O393" s="292"/>
    </row>
    <row r="394" spans="1:15" x14ac:dyDescent="0.2">
      <c r="A394" s="280"/>
      <c r="B394" s="100"/>
      <c r="C394" s="100"/>
      <c r="D394" s="100"/>
      <c r="E394" s="100"/>
      <c r="F394" s="100"/>
      <c r="G394" s="100"/>
      <c r="H394" s="297"/>
      <c r="I394" s="298"/>
      <c r="J394" s="320"/>
      <c r="K394" s="320"/>
      <c r="L394" s="335"/>
      <c r="M394" s="320"/>
      <c r="N394" s="320"/>
      <c r="O394" s="292"/>
    </row>
    <row r="395" spans="1:15" x14ac:dyDescent="0.2">
      <c r="A395" s="280"/>
      <c r="B395" s="100"/>
      <c r="C395" s="100"/>
      <c r="D395" s="100"/>
      <c r="E395" s="100"/>
      <c r="F395" s="100"/>
      <c r="G395" s="100"/>
      <c r="H395" s="297"/>
      <c r="I395" s="298"/>
      <c r="J395" s="320"/>
      <c r="K395" s="320"/>
      <c r="L395" s="335"/>
      <c r="M395" s="320"/>
      <c r="N395" s="320"/>
      <c r="O395" s="292"/>
    </row>
    <row r="396" spans="1:15" x14ac:dyDescent="0.2">
      <c r="A396" s="280"/>
      <c r="B396" s="100"/>
      <c r="C396" s="100"/>
      <c r="D396" s="100"/>
      <c r="E396" s="100"/>
      <c r="F396" s="100"/>
      <c r="G396" s="100"/>
      <c r="H396" s="297"/>
      <c r="I396" s="298"/>
      <c r="J396" s="320"/>
      <c r="K396" s="320"/>
      <c r="L396" s="335"/>
      <c r="M396" s="320"/>
      <c r="N396" s="320"/>
      <c r="O396" s="292"/>
    </row>
    <row r="397" spans="1:15" x14ac:dyDescent="0.2">
      <c r="A397" s="280"/>
      <c r="B397" s="100"/>
      <c r="C397" s="100"/>
      <c r="D397" s="100"/>
      <c r="E397" s="100"/>
      <c r="F397" s="100"/>
      <c r="G397" s="100"/>
      <c r="H397" s="297"/>
      <c r="I397" s="298"/>
      <c r="J397" s="320"/>
      <c r="K397" s="320"/>
      <c r="L397" s="335"/>
      <c r="M397" s="320"/>
      <c r="N397" s="320"/>
      <c r="O397" s="292"/>
    </row>
    <row r="398" spans="1:15" x14ac:dyDescent="0.2">
      <c r="A398" s="280"/>
      <c r="B398" s="100"/>
      <c r="C398" s="100"/>
      <c r="D398" s="100"/>
      <c r="E398" s="100"/>
      <c r="F398" s="100"/>
      <c r="G398" s="100"/>
      <c r="H398" s="297"/>
      <c r="I398" s="298"/>
      <c r="J398" s="320"/>
      <c r="K398" s="320"/>
      <c r="L398" s="335"/>
      <c r="M398" s="320"/>
      <c r="N398" s="320"/>
      <c r="O398" s="292"/>
    </row>
    <row r="399" spans="1:15" x14ac:dyDescent="0.2">
      <c r="A399" s="280"/>
      <c r="B399" s="100"/>
      <c r="C399" s="100"/>
      <c r="D399" s="100"/>
      <c r="E399" s="100"/>
      <c r="F399" s="100"/>
      <c r="G399" s="100"/>
      <c r="H399" s="297"/>
      <c r="I399" s="298"/>
      <c r="J399" s="320"/>
      <c r="K399" s="320"/>
      <c r="L399" s="335"/>
      <c r="M399" s="320"/>
      <c r="N399" s="320"/>
      <c r="O399" s="292"/>
    </row>
    <row r="400" spans="1:15" x14ac:dyDescent="0.2">
      <c r="A400" s="280"/>
      <c r="B400" s="100"/>
      <c r="C400" s="100"/>
      <c r="D400" s="100"/>
      <c r="E400" s="100"/>
      <c r="F400" s="100"/>
      <c r="G400" s="100"/>
      <c r="H400" s="297"/>
      <c r="I400" s="298"/>
      <c r="J400" s="320"/>
      <c r="K400" s="320"/>
      <c r="L400" s="335"/>
      <c r="M400" s="320"/>
      <c r="N400" s="320"/>
      <c r="O400" s="292"/>
    </row>
    <row r="401" spans="1:15" x14ac:dyDescent="0.2">
      <c r="A401" s="280"/>
      <c r="B401" s="100"/>
      <c r="C401" s="100"/>
      <c r="D401" s="100"/>
      <c r="E401" s="100"/>
      <c r="F401" s="100"/>
      <c r="G401" s="100"/>
      <c r="H401" s="297"/>
      <c r="I401" s="298"/>
      <c r="J401" s="320"/>
      <c r="K401" s="320"/>
      <c r="L401" s="335"/>
      <c r="M401" s="320"/>
      <c r="N401" s="320"/>
      <c r="O401" s="292"/>
    </row>
    <row r="402" spans="1:15" x14ac:dyDescent="0.2">
      <c r="A402" s="280"/>
      <c r="B402" s="100"/>
      <c r="C402" s="100"/>
      <c r="D402" s="100"/>
      <c r="E402" s="100"/>
      <c r="F402" s="100"/>
      <c r="G402" s="100"/>
      <c r="H402" s="297"/>
      <c r="I402" s="298"/>
      <c r="J402" s="320"/>
      <c r="K402" s="320"/>
      <c r="L402" s="335"/>
      <c r="M402" s="320"/>
      <c r="N402" s="320"/>
      <c r="O402" s="292"/>
    </row>
    <row r="403" spans="1:15" x14ac:dyDescent="0.2">
      <c r="A403" s="280"/>
      <c r="B403" s="100"/>
      <c r="C403" s="100"/>
      <c r="D403" s="100"/>
      <c r="E403" s="100"/>
      <c r="F403" s="100"/>
      <c r="G403" s="100"/>
      <c r="H403" s="297"/>
      <c r="I403" s="298"/>
      <c r="J403" s="320"/>
      <c r="K403" s="320"/>
      <c r="L403" s="335"/>
      <c r="M403" s="320"/>
      <c r="N403" s="320"/>
      <c r="O403" s="292"/>
    </row>
    <row r="404" spans="1:15" x14ac:dyDescent="0.2">
      <c r="A404" s="280"/>
      <c r="B404" s="100"/>
      <c r="C404" s="100"/>
      <c r="D404" s="100"/>
      <c r="E404" s="100"/>
      <c r="F404" s="100"/>
      <c r="G404" s="100"/>
      <c r="H404" s="297"/>
      <c r="I404" s="298"/>
      <c r="J404" s="320"/>
      <c r="K404" s="320"/>
      <c r="L404" s="335"/>
      <c r="M404" s="320"/>
      <c r="N404" s="320"/>
      <c r="O404" s="292"/>
    </row>
    <row r="405" spans="1:15" x14ac:dyDescent="0.2">
      <c r="A405" s="280"/>
      <c r="B405" s="100"/>
      <c r="C405" s="100"/>
      <c r="D405" s="100"/>
      <c r="E405" s="100"/>
      <c r="F405" s="100"/>
      <c r="G405" s="100"/>
      <c r="H405" s="297"/>
      <c r="I405" s="298"/>
      <c r="J405" s="320"/>
      <c r="K405" s="320"/>
      <c r="L405" s="335"/>
      <c r="M405" s="320"/>
      <c r="N405" s="320"/>
      <c r="O405" s="292"/>
    </row>
    <row r="406" spans="1:15" x14ac:dyDescent="0.2">
      <c r="A406" s="280"/>
      <c r="B406" s="100"/>
      <c r="C406" s="100"/>
      <c r="D406" s="100"/>
      <c r="E406" s="100"/>
      <c r="F406" s="100"/>
      <c r="G406" s="100"/>
      <c r="H406" s="297"/>
      <c r="I406" s="298"/>
      <c r="J406" s="320"/>
      <c r="K406" s="320"/>
      <c r="L406" s="335"/>
      <c r="M406" s="320"/>
      <c r="N406" s="320"/>
      <c r="O406" s="292"/>
    </row>
    <row r="407" spans="1:15" x14ac:dyDescent="0.2">
      <c r="A407" s="280"/>
      <c r="B407" s="100"/>
      <c r="C407" s="100"/>
      <c r="D407" s="100"/>
      <c r="E407" s="100"/>
      <c r="F407" s="100"/>
      <c r="G407" s="100"/>
      <c r="H407" s="297"/>
      <c r="I407" s="298"/>
      <c r="J407" s="320"/>
      <c r="K407" s="320"/>
      <c r="L407" s="335"/>
      <c r="M407" s="320"/>
      <c r="N407" s="320"/>
      <c r="O407" s="292"/>
    </row>
    <row r="408" spans="1:15" x14ac:dyDescent="0.2">
      <c r="A408" s="280"/>
      <c r="B408" s="100"/>
      <c r="C408" s="100"/>
      <c r="D408" s="100"/>
      <c r="E408" s="100"/>
      <c r="F408" s="100"/>
      <c r="G408" s="100"/>
      <c r="H408" s="297"/>
      <c r="I408" s="298"/>
      <c r="J408" s="320"/>
      <c r="K408" s="320"/>
      <c r="L408" s="335"/>
      <c r="M408" s="320"/>
      <c r="N408" s="320"/>
      <c r="O408" s="292"/>
    </row>
    <row r="409" spans="1:15" x14ac:dyDescent="0.2">
      <c r="A409" s="280"/>
      <c r="B409" s="100"/>
      <c r="C409" s="100"/>
      <c r="D409" s="100"/>
      <c r="E409" s="100"/>
      <c r="F409" s="100"/>
      <c r="G409" s="100"/>
      <c r="H409" s="297"/>
      <c r="I409" s="298"/>
      <c r="J409" s="320"/>
      <c r="K409" s="320"/>
      <c r="L409" s="335"/>
      <c r="M409" s="320"/>
      <c r="N409" s="320"/>
      <c r="O409" s="292"/>
    </row>
    <row r="410" spans="1:15" x14ac:dyDescent="0.2">
      <c r="A410" s="280"/>
      <c r="B410" s="100"/>
      <c r="C410" s="100"/>
      <c r="D410" s="100"/>
      <c r="E410" s="100"/>
      <c r="F410" s="100"/>
      <c r="G410" s="100"/>
      <c r="H410" s="297"/>
      <c r="I410" s="298"/>
      <c r="J410" s="320"/>
      <c r="K410" s="320"/>
      <c r="L410" s="335"/>
      <c r="M410" s="320"/>
      <c r="N410" s="320"/>
      <c r="O410" s="292"/>
    </row>
    <row r="411" spans="1:15" x14ac:dyDescent="0.2">
      <c r="A411" s="280"/>
      <c r="B411" s="100"/>
      <c r="C411" s="100"/>
      <c r="D411" s="100"/>
      <c r="E411" s="100"/>
      <c r="F411" s="100"/>
      <c r="G411" s="100"/>
      <c r="H411" s="297"/>
      <c r="I411" s="298"/>
      <c r="J411" s="320"/>
      <c r="K411" s="320"/>
      <c r="L411" s="335"/>
      <c r="M411" s="320"/>
      <c r="N411" s="320"/>
      <c r="O411" s="292"/>
    </row>
    <row r="412" spans="1:15" x14ac:dyDescent="0.2">
      <c r="A412" s="280"/>
      <c r="B412" s="100"/>
      <c r="C412" s="100"/>
      <c r="D412" s="100"/>
      <c r="E412" s="100"/>
      <c r="F412" s="100"/>
      <c r="G412" s="100"/>
      <c r="H412" s="297"/>
      <c r="I412" s="298"/>
      <c r="J412" s="320"/>
      <c r="K412" s="320"/>
      <c r="L412" s="335"/>
      <c r="M412" s="320"/>
      <c r="N412" s="320"/>
      <c r="O412" s="292"/>
    </row>
    <row r="413" spans="1:15" x14ac:dyDescent="0.2">
      <c r="A413" s="280"/>
      <c r="B413" s="100"/>
      <c r="C413" s="100"/>
      <c r="D413" s="100"/>
      <c r="E413" s="100"/>
      <c r="F413" s="100"/>
      <c r="G413" s="100"/>
      <c r="H413" s="297"/>
      <c r="I413" s="298"/>
      <c r="J413" s="320"/>
      <c r="K413" s="320"/>
      <c r="L413" s="335"/>
      <c r="M413" s="320"/>
      <c r="N413" s="320"/>
      <c r="O413" s="292"/>
    </row>
    <row r="414" spans="1:15" x14ac:dyDescent="0.2">
      <c r="A414" s="280"/>
      <c r="B414" s="100"/>
      <c r="C414" s="100"/>
      <c r="D414" s="100"/>
      <c r="E414" s="100"/>
      <c r="F414" s="100"/>
      <c r="G414" s="100"/>
      <c r="H414" s="297"/>
      <c r="I414" s="298"/>
      <c r="J414" s="320"/>
      <c r="K414" s="320"/>
      <c r="L414" s="335"/>
      <c r="M414" s="320"/>
      <c r="N414" s="320"/>
      <c r="O414" s="292"/>
    </row>
    <row r="415" spans="1:15" x14ac:dyDescent="0.2">
      <c r="A415" s="280"/>
      <c r="B415" s="100"/>
      <c r="C415" s="100"/>
      <c r="D415" s="100"/>
      <c r="E415" s="100"/>
      <c r="F415" s="100"/>
      <c r="G415" s="100"/>
      <c r="H415" s="297"/>
      <c r="I415" s="298"/>
      <c r="J415" s="320"/>
      <c r="K415" s="320"/>
      <c r="L415" s="335"/>
      <c r="M415" s="320"/>
      <c r="N415" s="320"/>
      <c r="O415" s="292"/>
    </row>
    <row r="416" spans="1:15" x14ac:dyDescent="0.2">
      <c r="A416" s="280"/>
      <c r="B416" s="100"/>
      <c r="C416" s="100"/>
      <c r="D416" s="100"/>
      <c r="E416" s="100"/>
      <c r="F416" s="100"/>
      <c r="G416" s="100"/>
      <c r="H416" s="297"/>
      <c r="I416" s="298"/>
      <c r="J416" s="320"/>
      <c r="K416" s="320"/>
      <c r="L416" s="335"/>
      <c r="M416" s="320"/>
      <c r="N416" s="320"/>
      <c r="O416" s="292"/>
    </row>
    <row r="417" spans="1:15" x14ac:dyDescent="0.2">
      <c r="A417" s="280"/>
      <c r="B417" s="100"/>
      <c r="C417" s="100"/>
      <c r="D417" s="100"/>
      <c r="E417" s="100"/>
      <c r="F417" s="100"/>
      <c r="G417" s="100"/>
      <c r="H417" s="297"/>
      <c r="I417" s="298"/>
      <c r="J417" s="320"/>
      <c r="K417" s="320"/>
      <c r="L417" s="335"/>
      <c r="M417" s="320"/>
      <c r="N417" s="320"/>
      <c r="O417" s="292"/>
    </row>
    <row r="418" spans="1:15" x14ac:dyDescent="0.2">
      <c r="A418" s="280"/>
      <c r="B418" s="100"/>
      <c r="C418" s="100"/>
      <c r="D418" s="100"/>
      <c r="E418" s="100"/>
      <c r="F418" s="100"/>
      <c r="G418" s="100"/>
      <c r="H418" s="297"/>
      <c r="I418" s="298"/>
      <c r="J418" s="320"/>
      <c r="K418" s="320"/>
      <c r="L418" s="335"/>
      <c r="M418" s="320"/>
      <c r="N418" s="320"/>
      <c r="O418" s="292"/>
    </row>
    <row r="419" spans="1:15" x14ac:dyDescent="0.2">
      <c r="A419" s="280"/>
      <c r="B419" s="100"/>
      <c r="C419" s="100"/>
      <c r="D419" s="100"/>
      <c r="E419" s="100"/>
      <c r="F419" s="100"/>
      <c r="G419" s="100"/>
      <c r="H419" s="297"/>
      <c r="I419" s="298"/>
      <c r="J419" s="320"/>
      <c r="K419" s="320"/>
      <c r="L419" s="335"/>
      <c r="M419" s="320"/>
      <c r="N419" s="320"/>
      <c r="O419" s="292"/>
    </row>
    <row r="420" spans="1:15" x14ac:dyDescent="0.2">
      <c r="A420" s="280"/>
      <c r="B420" s="100"/>
      <c r="C420" s="100"/>
      <c r="D420" s="100"/>
      <c r="E420" s="100"/>
      <c r="F420" s="100"/>
      <c r="G420" s="100"/>
      <c r="H420" s="297"/>
      <c r="I420" s="298"/>
      <c r="J420" s="320"/>
      <c r="K420" s="320"/>
      <c r="L420" s="335"/>
      <c r="M420" s="320"/>
      <c r="N420" s="320"/>
      <c r="O420" s="292"/>
    </row>
    <row r="421" spans="1:15" x14ac:dyDescent="0.2">
      <c r="A421" s="280"/>
      <c r="B421" s="100"/>
      <c r="C421" s="100"/>
      <c r="D421" s="100"/>
      <c r="E421" s="100"/>
      <c r="F421" s="100"/>
      <c r="G421" s="100"/>
      <c r="H421" s="297"/>
      <c r="I421" s="298"/>
      <c r="J421" s="320"/>
      <c r="K421" s="320"/>
      <c r="L421" s="335"/>
      <c r="M421" s="320"/>
      <c r="N421" s="320"/>
      <c r="O421" s="292"/>
    </row>
    <row r="422" spans="1:15" x14ac:dyDescent="0.2">
      <c r="A422" s="280"/>
      <c r="B422" s="100"/>
      <c r="C422" s="100"/>
      <c r="D422" s="100"/>
      <c r="E422" s="100"/>
      <c r="F422" s="100"/>
      <c r="G422" s="100"/>
      <c r="H422" s="297"/>
      <c r="I422" s="298"/>
      <c r="J422" s="320"/>
      <c r="K422" s="320"/>
      <c r="L422" s="335"/>
      <c r="M422" s="320"/>
      <c r="N422" s="320"/>
      <c r="O422" s="292"/>
    </row>
    <row r="423" spans="1:15" x14ac:dyDescent="0.2">
      <c r="A423" s="280"/>
      <c r="B423" s="100"/>
      <c r="C423" s="100"/>
      <c r="D423" s="100"/>
      <c r="E423" s="100"/>
      <c r="F423" s="100"/>
      <c r="G423" s="100"/>
      <c r="H423" s="297"/>
      <c r="I423" s="298"/>
      <c r="J423" s="320"/>
      <c r="K423" s="320"/>
      <c r="L423" s="335"/>
      <c r="M423" s="320"/>
      <c r="N423" s="320"/>
      <c r="O423" s="292"/>
    </row>
    <row r="424" spans="1:15" x14ac:dyDescent="0.2">
      <c r="A424" s="280"/>
      <c r="B424" s="100"/>
      <c r="C424" s="100"/>
      <c r="D424" s="100"/>
      <c r="E424" s="100"/>
      <c r="F424" s="100"/>
      <c r="G424" s="100"/>
      <c r="H424" s="297"/>
      <c r="I424" s="298"/>
      <c r="J424" s="320"/>
      <c r="K424" s="320"/>
      <c r="L424" s="335"/>
      <c r="M424" s="320"/>
      <c r="N424" s="320"/>
      <c r="O424" s="292"/>
    </row>
    <row r="425" spans="1:15" x14ac:dyDescent="0.2">
      <c r="A425" s="280"/>
      <c r="B425" s="100"/>
      <c r="C425" s="100"/>
      <c r="D425" s="100"/>
      <c r="E425" s="100"/>
      <c r="F425" s="100"/>
      <c r="G425" s="100"/>
      <c r="H425" s="297"/>
      <c r="I425" s="298"/>
      <c r="J425" s="320"/>
      <c r="K425" s="320"/>
      <c r="L425" s="335"/>
      <c r="M425" s="320"/>
      <c r="N425" s="320"/>
      <c r="O425" s="292"/>
    </row>
    <row r="426" spans="1:15" x14ac:dyDescent="0.2">
      <c r="A426" s="280"/>
      <c r="B426" s="100"/>
      <c r="C426" s="100"/>
      <c r="D426" s="100"/>
      <c r="E426" s="100"/>
      <c r="F426" s="100"/>
      <c r="G426" s="100"/>
      <c r="H426" s="297"/>
      <c r="I426" s="298"/>
      <c r="J426" s="320"/>
      <c r="K426" s="320"/>
      <c r="L426" s="335"/>
      <c r="M426" s="320"/>
      <c r="N426" s="320"/>
      <c r="O426" s="292"/>
    </row>
    <row r="427" spans="1:15" x14ac:dyDescent="0.2">
      <c r="A427" s="280"/>
      <c r="B427" s="100"/>
      <c r="C427" s="100"/>
      <c r="D427" s="100"/>
      <c r="E427" s="100"/>
      <c r="F427" s="100"/>
      <c r="G427" s="100"/>
      <c r="H427" s="297"/>
      <c r="I427" s="298"/>
      <c r="J427" s="320"/>
      <c r="K427" s="320"/>
      <c r="L427" s="335"/>
      <c r="M427" s="320"/>
      <c r="N427" s="320"/>
      <c r="O427" s="292"/>
    </row>
    <row r="428" spans="1:15" x14ac:dyDescent="0.2">
      <c r="A428" s="280"/>
      <c r="B428" s="100"/>
      <c r="C428" s="100"/>
      <c r="D428" s="100"/>
      <c r="E428" s="100"/>
      <c r="F428" s="100"/>
      <c r="G428" s="100"/>
      <c r="H428" s="297"/>
      <c r="I428" s="298"/>
      <c r="J428" s="320"/>
      <c r="K428" s="320"/>
      <c r="L428" s="335"/>
      <c r="M428" s="320"/>
      <c r="N428" s="320"/>
      <c r="O428" s="292"/>
    </row>
    <row r="429" spans="1:15" x14ac:dyDescent="0.2">
      <c r="A429" s="280"/>
      <c r="B429" s="100"/>
      <c r="C429" s="100"/>
      <c r="D429" s="100"/>
      <c r="E429" s="100"/>
      <c r="F429" s="100"/>
      <c r="G429" s="100"/>
      <c r="H429" s="297"/>
      <c r="I429" s="298"/>
      <c r="J429" s="320"/>
      <c r="K429" s="320"/>
      <c r="L429" s="335"/>
      <c r="M429" s="320"/>
      <c r="N429" s="320"/>
      <c r="O429" s="292"/>
    </row>
    <row r="430" spans="1:15" x14ac:dyDescent="0.2">
      <c r="A430" s="280"/>
      <c r="B430" s="100"/>
      <c r="C430" s="100"/>
      <c r="D430" s="100"/>
      <c r="E430" s="100"/>
      <c r="F430" s="100"/>
      <c r="G430" s="100"/>
      <c r="H430" s="297"/>
      <c r="I430" s="298"/>
      <c r="J430" s="320"/>
      <c r="K430" s="320"/>
      <c r="L430" s="335"/>
      <c r="M430" s="320"/>
      <c r="N430" s="320"/>
      <c r="O430" s="292"/>
    </row>
    <row r="431" spans="1:15" x14ac:dyDescent="0.2">
      <c r="A431" s="280"/>
      <c r="B431" s="100"/>
      <c r="C431" s="100"/>
      <c r="D431" s="100"/>
      <c r="E431" s="100"/>
      <c r="F431" s="100"/>
      <c r="G431" s="100"/>
      <c r="H431" s="297"/>
      <c r="I431" s="298"/>
      <c r="J431" s="320"/>
      <c r="K431" s="320"/>
      <c r="L431" s="335"/>
      <c r="M431" s="320"/>
      <c r="N431" s="320"/>
      <c r="O431" s="292"/>
    </row>
    <row r="432" spans="1:15" x14ac:dyDescent="0.2">
      <c r="A432" s="280"/>
      <c r="B432" s="100"/>
      <c r="C432" s="100"/>
      <c r="D432" s="100"/>
      <c r="E432" s="100"/>
      <c r="F432" s="100"/>
      <c r="G432" s="100"/>
      <c r="H432" s="297"/>
      <c r="I432" s="298"/>
      <c r="J432" s="320"/>
      <c r="K432" s="320"/>
      <c r="L432" s="335"/>
      <c r="M432" s="320"/>
      <c r="N432" s="320"/>
      <c r="O432" s="292"/>
    </row>
    <row r="433" spans="1:15" x14ac:dyDescent="0.2">
      <c r="A433" s="280"/>
      <c r="B433" s="100"/>
      <c r="C433" s="100"/>
      <c r="D433" s="100"/>
      <c r="E433" s="100"/>
      <c r="F433" s="100"/>
      <c r="G433" s="100"/>
      <c r="H433" s="297"/>
      <c r="I433" s="298"/>
      <c r="J433" s="320"/>
      <c r="K433" s="320"/>
      <c r="L433" s="335"/>
      <c r="M433" s="320"/>
      <c r="N433" s="320"/>
      <c r="O433" s="292"/>
    </row>
    <row r="434" spans="1:15" x14ac:dyDescent="0.2">
      <c r="A434" s="280"/>
      <c r="B434" s="100"/>
      <c r="C434" s="100"/>
      <c r="D434" s="100"/>
      <c r="E434" s="100"/>
      <c r="F434" s="100"/>
      <c r="G434" s="100"/>
      <c r="H434" s="297"/>
      <c r="I434" s="298"/>
      <c r="J434" s="320"/>
      <c r="K434" s="320"/>
      <c r="L434" s="335"/>
      <c r="M434" s="320"/>
      <c r="N434" s="320"/>
      <c r="O434" s="292"/>
    </row>
    <row r="435" spans="1:15" x14ac:dyDescent="0.2">
      <c r="A435" s="280"/>
      <c r="B435" s="100"/>
      <c r="C435" s="100"/>
      <c r="D435" s="100"/>
      <c r="E435" s="100"/>
      <c r="F435" s="100"/>
      <c r="G435" s="100"/>
      <c r="H435" s="297"/>
      <c r="I435" s="298"/>
      <c r="J435" s="320"/>
      <c r="K435" s="320"/>
      <c r="L435" s="335"/>
      <c r="M435" s="320"/>
      <c r="N435" s="320"/>
      <c r="O435" s="292"/>
    </row>
    <row r="436" spans="1:15" x14ac:dyDescent="0.2">
      <c r="A436" s="280"/>
      <c r="B436" s="100"/>
      <c r="C436" s="100"/>
      <c r="D436" s="100"/>
      <c r="E436" s="100"/>
      <c r="F436" s="100"/>
      <c r="G436" s="100"/>
      <c r="H436" s="297"/>
      <c r="I436" s="298"/>
      <c r="J436" s="320"/>
      <c r="K436" s="320"/>
      <c r="L436" s="335"/>
      <c r="M436" s="320"/>
      <c r="N436" s="320"/>
      <c r="O436" s="292"/>
    </row>
    <row r="437" spans="1:15" x14ac:dyDescent="0.2">
      <c r="A437" s="280"/>
      <c r="B437" s="100"/>
      <c r="C437" s="100"/>
      <c r="D437" s="100"/>
      <c r="E437" s="100"/>
      <c r="F437" s="100"/>
      <c r="G437" s="100"/>
      <c r="H437" s="297"/>
      <c r="I437" s="298"/>
      <c r="J437" s="320"/>
      <c r="K437" s="320"/>
      <c r="L437" s="335"/>
      <c r="M437" s="320"/>
      <c r="N437" s="320"/>
      <c r="O437" s="292"/>
    </row>
    <row r="438" spans="1:15" x14ac:dyDescent="0.2">
      <c r="A438" s="280"/>
      <c r="B438" s="100"/>
      <c r="C438" s="100"/>
      <c r="D438" s="100"/>
      <c r="E438" s="100"/>
      <c r="F438" s="100"/>
      <c r="G438" s="100"/>
      <c r="H438" s="297"/>
      <c r="I438" s="298"/>
      <c r="J438" s="320"/>
      <c r="K438" s="320"/>
      <c r="L438" s="335"/>
      <c r="M438" s="320"/>
      <c r="N438" s="320"/>
      <c r="O438" s="292"/>
    </row>
    <row r="439" spans="1:15" x14ac:dyDescent="0.2">
      <c r="A439" s="280"/>
      <c r="B439" s="100"/>
      <c r="C439" s="100"/>
      <c r="D439" s="100"/>
      <c r="E439" s="100"/>
      <c r="F439" s="100"/>
      <c r="G439" s="100"/>
      <c r="H439" s="297"/>
      <c r="I439" s="298"/>
      <c r="J439" s="320"/>
      <c r="K439" s="320"/>
      <c r="L439" s="335"/>
      <c r="M439" s="320"/>
      <c r="N439" s="320"/>
      <c r="O439" s="292"/>
    </row>
    <row r="440" spans="1:15" x14ac:dyDescent="0.2">
      <c r="A440" s="280"/>
      <c r="B440" s="100"/>
      <c r="C440" s="100"/>
      <c r="D440" s="100"/>
      <c r="E440" s="100"/>
      <c r="F440" s="100"/>
      <c r="G440" s="100"/>
      <c r="H440" s="297"/>
      <c r="I440" s="298"/>
      <c r="J440" s="320"/>
      <c r="K440" s="320"/>
      <c r="L440" s="335"/>
      <c r="M440" s="320"/>
      <c r="N440" s="320"/>
      <c r="O440" s="292"/>
    </row>
    <row r="441" spans="1:15" x14ac:dyDescent="0.2">
      <c r="A441" s="280"/>
      <c r="B441" s="100"/>
      <c r="C441" s="100"/>
      <c r="D441" s="100"/>
      <c r="E441" s="100"/>
      <c r="F441" s="100"/>
      <c r="G441" s="100"/>
      <c r="H441" s="297"/>
      <c r="I441" s="298"/>
      <c r="J441" s="320"/>
      <c r="K441" s="320"/>
      <c r="L441" s="335"/>
      <c r="M441" s="320"/>
      <c r="N441" s="320"/>
      <c r="O441" s="292"/>
    </row>
    <row r="442" spans="1:15" x14ac:dyDescent="0.2">
      <c r="A442" s="280"/>
      <c r="B442" s="100"/>
      <c r="C442" s="100"/>
      <c r="D442" s="100"/>
      <c r="E442" s="100"/>
      <c r="F442" s="100"/>
      <c r="G442" s="100"/>
      <c r="H442" s="297"/>
      <c r="I442" s="298"/>
      <c r="J442" s="320"/>
      <c r="K442" s="320"/>
      <c r="L442" s="335"/>
      <c r="M442" s="320"/>
      <c r="N442" s="320"/>
      <c r="O442" s="292"/>
    </row>
    <row r="443" spans="1:15" x14ac:dyDescent="0.2">
      <c r="A443" s="280"/>
      <c r="B443" s="100"/>
      <c r="C443" s="100"/>
      <c r="D443" s="100"/>
      <c r="E443" s="100"/>
      <c r="F443" s="100"/>
      <c r="G443" s="100"/>
      <c r="H443" s="297"/>
      <c r="I443" s="298"/>
      <c r="J443" s="320"/>
      <c r="K443" s="320"/>
      <c r="L443" s="335"/>
      <c r="M443" s="320"/>
      <c r="N443" s="320"/>
      <c r="O443" s="292"/>
    </row>
    <row r="444" spans="1:15" x14ac:dyDescent="0.2">
      <c r="A444" s="280"/>
      <c r="B444" s="100"/>
      <c r="C444" s="100"/>
      <c r="D444" s="100"/>
      <c r="E444" s="100"/>
      <c r="F444" s="100"/>
      <c r="G444" s="100"/>
      <c r="H444" s="297"/>
      <c r="I444" s="298"/>
      <c r="J444" s="320"/>
      <c r="K444" s="320"/>
      <c r="L444" s="335"/>
      <c r="M444" s="320"/>
      <c r="N444" s="320"/>
      <c r="O444" s="292"/>
    </row>
    <row r="445" spans="1:15" x14ac:dyDescent="0.2">
      <c r="A445" s="280"/>
      <c r="B445" s="100"/>
      <c r="C445" s="100"/>
      <c r="D445" s="100"/>
      <c r="E445" s="100"/>
      <c r="F445" s="100"/>
      <c r="G445" s="100"/>
      <c r="H445" s="297"/>
      <c r="I445" s="298"/>
      <c r="J445" s="320"/>
      <c r="K445" s="320"/>
      <c r="L445" s="335"/>
      <c r="M445" s="320"/>
      <c r="N445" s="320"/>
      <c r="O445" s="292"/>
    </row>
    <row r="446" spans="1:15" x14ac:dyDescent="0.2">
      <c r="A446" s="280"/>
      <c r="B446" s="100"/>
      <c r="C446" s="100"/>
      <c r="D446" s="100"/>
      <c r="E446" s="100"/>
      <c r="F446" s="100"/>
      <c r="G446" s="100"/>
      <c r="H446" s="297"/>
      <c r="I446" s="298"/>
      <c r="J446" s="320"/>
      <c r="K446" s="320"/>
      <c r="L446" s="335"/>
      <c r="M446" s="320"/>
      <c r="N446" s="320"/>
      <c r="O446" s="292"/>
    </row>
    <row r="447" spans="1:15" x14ac:dyDescent="0.2">
      <c r="A447" s="280"/>
      <c r="B447" s="100"/>
      <c r="C447" s="100"/>
      <c r="D447" s="100"/>
      <c r="E447" s="100"/>
      <c r="F447" s="100"/>
      <c r="G447" s="100"/>
      <c r="H447" s="297"/>
      <c r="I447" s="298"/>
      <c r="J447" s="320"/>
      <c r="K447" s="320"/>
      <c r="L447" s="335"/>
      <c r="M447" s="320"/>
      <c r="N447" s="320"/>
      <c r="O447" s="292"/>
    </row>
    <row r="448" spans="1:15" x14ac:dyDescent="0.2">
      <c r="A448" s="280"/>
      <c r="B448" s="100"/>
      <c r="C448" s="100"/>
      <c r="D448" s="100"/>
      <c r="E448" s="100"/>
      <c r="F448" s="100"/>
      <c r="G448" s="100"/>
      <c r="H448" s="297"/>
      <c r="I448" s="298"/>
      <c r="J448" s="320"/>
      <c r="K448" s="320"/>
      <c r="L448" s="335"/>
      <c r="M448" s="320"/>
      <c r="N448" s="320"/>
      <c r="O448" s="292"/>
    </row>
    <row r="449" spans="1:15" x14ac:dyDescent="0.2">
      <c r="A449" s="280"/>
      <c r="B449" s="100"/>
      <c r="C449" s="100"/>
      <c r="D449" s="100"/>
      <c r="E449" s="100"/>
      <c r="F449" s="100"/>
      <c r="G449" s="100"/>
      <c r="H449" s="297"/>
      <c r="I449" s="298"/>
      <c r="J449" s="320"/>
      <c r="K449" s="320"/>
      <c r="L449" s="335"/>
      <c r="M449" s="320"/>
      <c r="N449" s="320"/>
      <c r="O449" s="292"/>
    </row>
    <row r="450" spans="1:15" x14ac:dyDescent="0.2">
      <c r="A450" s="280"/>
      <c r="B450" s="100"/>
      <c r="C450" s="100"/>
      <c r="D450" s="100"/>
      <c r="E450" s="100"/>
      <c r="F450" s="100"/>
      <c r="G450" s="100"/>
      <c r="H450" s="297"/>
      <c r="I450" s="298"/>
      <c r="J450" s="320"/>
      <c r="K450" s="320"/>
      <c r="L450" s="335"/>
      <c r="M450" s="320"/>
      <c r="N450" s="320"/>
      <c r="O450" s="292"/>
    </row>
    <row r="451" spans="1:15" x14ac:dyDescent="0.2">
      <c r="A451" s="280"/>
      <c r="B451" s="100"/>
      <c r="C451" s="100"/>
      <c r="D451" s="100"/>
      <c r="E451" s="100"/>
      <c r="F451" s="100"/>
      <c r="G451" s="100"/>
      <c r="H451" s="297"/>
      <c r="I451" s="298"/>
      <c r="J451" s="320"/>
      <c r="K451" s="320"/>
      <c r="L451" s="335"/>
      <c r="M451" s="320"/>
      <c r="N451" s="320"/>
      <c r="O451" s="292"/>
    </row>
    <row r="452" spans="1:15" x14ac:dyDescent="0.2">
      <c r="A452" s="280"/>
      <c r="B452" s="100"/>
      <c r="C452" s="100"/>
      <c r="D452" s="100"/>
      <c r="E452" s="100"/>
      <c r="F452" s="100"/>
      <c r="G452" s="100"/>
      <c r="H452" s="297"/>
      <c r="I452" s="298"/>
      <c r="J452" s="320"/>
      <c r="K452" s="320"/>
      <c r="L452" s="335"/>
      <c r="M452" s="320"/>
      <c r="N452" s="320"/>
      <c r="O452" s="292"/>
    </row>
    <row r="453" spans="1:15" x14ac:dyDescent="0.2">
      <c r="A453" s="280"/>
      <c r="B453" s="100"/>
      <c r="C453" s="100"/>
      <c r="D453" s="100"/>
      <c r="E453" s="100"/>
      <c r="F453" s="100"/>
      <c r="G453" s="100"/>
      <c r="H453" s="297"/>
      <c r="I453" s="298"/>
      <c r="J453" s="320"/>
      <c r="K453" s="320"/>
      <c r="L453" s="335"/>
      <c r="M453" s="320"/>
      <c r="N453" s="320"/>
      <c r="O453" s="292"/>
    </row>
    <row r="454" spans="1:15" x14ac:dyDescent="0.2">
      <c r="A454" s="280"/>
      <c r="B454" s="100"/>
      <c r="C454" s="100"/>
      <c r="D454" s="100"/>
      <c r="E454" s="100"/>
      <c r="F454" s="100"/>
      <c r="G454" s="100"/>
      <c r="H454" s="297"/>
      <c r="I454" s="298"/>
      <c r="J454" s="320"/>
      <c r="K454" s="320"/>
      <c r="L454" s="335"/>
      <c r="M454" s="320"/>
      <c r="N454" s="320"/>
      <c r="O454" s="292"/>
    </row>
    <row r="455" spans="1:15" x14ac:dyDescent="0.2">
      <c r="A455" s="280"/>
      <c r="B455" s="100"/>
      <c r="C455" s="100"/>
      <c r="D455" s="100"/>
      <c r="E455" s="100"/>
      <c r="F455" s="100"/>
      <c r="G455" s="100"/>
      <c r="H455" s="297"/>
      <c r="I455" s="298"/>
      <c r="J455" s="320"/>
      <c r="K455" s="320"/>
      <c r="L455" s="335"/>
      <c r="M455" s="320"/>
      <c r="N455" s="320"/>
      <c r="O455" s="292"/>
    </row>
    <row r="456" spans="1:15" x14ac:dyDescent="0.2">
      <c r="A456" s="280"/>
      <c r="B456" s="100"/>
      <c r="C456" s="100"/>
      <c r="D456" s="100"/>
      <c r="E456" s="100"/>
      <c r="F456" s="100"/>
      <c r="G456" s="100"/>
      <c r="H456" s="297"/>
      <c r="I456" s="298"/>
      <c r="J456" s="320"/>
      <c r="K456" s="320"/>
      <c r="L456" s="335"/>
      <c r="M456" s="320"/>
      <c r="N456" s="320"/>
      <c r="O456" s="292"/>
    </row>
    <row r="457" spans="1:15" x14ac:dyDescent="0.2">
      <c r="A457" s="280"/>
      <c r="B457" s="100"/>
      <c r="C457" s="100"/>
      <c r="D457" s="100"/>
      <c r="E457" s="100"/>
      <c r="F457" s="100"/>
      <c r="G457" s="100"/>
      <c r="H457" s="297"/>
      <c r="I457" s="298"/>
      <c r="J457" s="320"/>
      <c r="K457" s="320"/>
      <c r="L457" s="335"/>
      <c r="M457" s="320"/>
      <c r="N457" s="320"/>
      <c r="O457" s="292"/>
    </row>
    <row r="458" spans="1:15" x14ac:dyDescent="0.2">
      <c r="A458" s="280"/>
      <c r="B458" s="100"/>
      <c r="C458" s="100"/>
      <c r="D458" s="100"/>
      <c r="E458" s="100"/>
      <c r="F458" s="100"/>
      <c r="G458" s="100"/>
      <c r="H458" s="297"/>
      <c r="I458" s="298"/>
      <c r="J458" s="320"/>
      <c r="K458" s="320"/>
      <c r="L458" s="335"/>
      <c r="M458" s="320"/>
      <c r="N458" s="320"/>
      <c r="O458" s="292"/>
    </row>
    <row r="459" spans="1:15" x14ac:dyDescent="0.2">
      <c r="A459" s="280"/>
      <c r="B459" s="100"/>
      <c r="C459" s="100"/>
      <c r="D459" s="100"/>
      <c r="E459" s="100"/>
      <c r="F459" s="100"/>
      <c r="G459" s="100"/>
      <c r="H459" s="297"/>
      <c r="I459" s="298"/>
      <c r="J459" s="320"/>
      <c r="K459" s="320"/>
      <c r="L459" s="335"/>
      <c r="M459" s="320"/>
      <c r="N459" s="320"/>
      <c r="O459" s="292"/>
    </row>
    <row r="460" spans="1:15" x14ac:dyDescent="0.2">
      <c r="A460" s="280"/>
      <c r="B460" s="100"/>
      <c r="C460" s="100"/>
      <c r="D460" s="100"/>
      <c r="E460" s="100"/>
      <c r="F460" s="100"/>
      <c r="G460" s="100"/>
      <c r="H460" s="297"/>
      <c r="I460" s="298"/>
      <c r="J460" s="320"/>
      <c r="K460" s="320"/>
      <c r="L460" s="335"/>
      <c r="M460" s="320"/>
      <c r="N460" s="320"/>
      <c r="O460" s="292"/>
    </row>
    <row r="461" spans="1:15" x14ac:dyDescent="0.2">
      <c r="A461" s="280"/>
      <c r="B461" s="100"/>
      <c r="C461" s="100"/>
      <c r="D461" s="100"/>
      <c r="E461" s="100"/>
      <c r="F461" s="100"/>
      <c r="G461" s="100"/>
      <c r="H461" s="297"/>
      <c r="I461" s="298"/>
      <c r="J461" s="320"/>
      <c r="K461" s="320"/>
      <c r="L461" s="335"/>
      <c r="M461" s="320"/>
      <c r="N461" s="320"/>
      <c r="O461" s="292"/>
    </row>
    <row r="462" spans="1:15" x14ac:dyDescent="0.2">
      <c r="A462" s="280"/>
      <c r="B462" s="100"/>
      <c r="C462" s="100"/>
      <c r="D462" s="100"/>
      <c r="E462" s="100"/>
      <c r="F462" s="100"/>
      <c r="G462" s="100"/>
      <c r="H462" s="297"/>
      <c r="I462" s="298"/>
      <c r="J462" s="320"/>
      <c r="K462" s="320"/>
      <c r="L462" s="335"/>
      <c r="M462" s="320"/>
      <c r="N462" s="320"/>
      <c r="O462" s="292"/>
    </row>
    <row r="463" spans="1:15" x14ac:dyDescent="0.2">
      <c r="A463" s="280"/>
      <c r="B463" s="100"/>
      <c r="C463" s="100"/>
      <c r="D463" s="100"/>
      <c r="E463" s="100"/>
      <c r="F463" s="100"/>
      <c r="G463" s="100"/>
      <c r="H463" s="297"/>
      <c r="I463" s="298"/>
      <c r="J463" s="320"/>
      <c r="K463" s="320"/>
      <c r="L463" s="335"/>
      <c r="M463" s="320"/>
      <c r="N463" s="320"/>
      <c r="O463" s="292"/>
    </row>
    <row r="464" spans="1:15" x14ac:dyDescent="0.2">
      <c r="A464" s="280"/>
      <c r="B464" s="100"/>
      <c r="C464" s="100"/>
      <c r="D464" s="100"/>
      <c r="E464" s="100"/>
      <c r="F464" s="100"/>
      <c r="G464" s="100"/>
      <c r="H464" s="297"/>
      <c r="I464" s="298"/>
      <c r="J464" s="320"/>
      <c r="K464" s="320"/>
      <c r="L464" s="335"/>
      <c r="M464" s="320"/>
      <c r="N464" s="320"/>
      <c r="O464" s="292"/>
    </row>
    <row r="465" spans="1:15" x14ac:dyDescent="0.2">
      <c r="A465" s="280"/>
      <c r="B465" s="100"/>
      <c r="C465" s="100"/>
      <c r="D465" s="100"/>
      <c r="E465" s="100"/>
      <c r="F465" s="100"/>
      <c r="G465" s="100"/>
      <c r="H465" s="297"/>
      <c r="I465" s="298"/>
      <c r="J465" s="320"/>
      <c r="K465" s="320"/>
      <c r="L465" s="335"/>
      <c r="M465" s="320"/>
      <c r="N465" s="320"/>
      <c r="O465" s="292"/>
    </row>
    <row r="466" spans="1:15" x14ac:dyDescent="0.2">
      <c r="A466" s="280"/>
      <c r="B466" s="100"/>
      <c r="C466" s="100"/>
      <c r="D466" s="100"/>
      <c r="E466" s="100"/>
      <c r="F466" s="100"/>
      <c r="G466" s="100"/>
      <c r="H466" s="297"/>
      <c r="I466" s="298"/>
      <c r="J466" s="320"/>
      <c r="K466" s="320"/>
      <c r="L466" s="335"/>
      <c r="M466" s="320"/>
      <c r="N466" s="320"/>
      <c r="O466" s="292"/>
    </row>
    <row r="467" spans="1:15" x14ac:dyDescent="0.2">
      <c r="A467" s="280"/>
      <c r="B467" s="100"/>
      <c r="C467" s="100"/>
      <c r="D467" s="100"/>
      <c r="E467" s="100"/>
      <c r="F467" s="100"/>
      <c r="G467" s="100"/>
      <c r="H467" s="297"/>
      <c r="I467" s="298"/>
      <c r="J467" s="320"/>
      <c r="K467" s="320"/>
      <c r="L467" s="335"/>
      <c r="M467" s="320"/>
      <c r="N467" s="320"/>
      <c r="O467" s="292"/>
    </row>
    <row r="468" spans="1:15" x14ac:dyDescent="0.2">
      <c r="A468" s="280"/>
      <c r="B468" s="100"/>
      <c r="C468" s="100"/>
      <c r="D468" s="100"/>
      <c r="E468" s="100"/>
      <c r="F468" s="100"/>
      <c r="G468" s="100"/>
      <c r="H468" s="297"/>
      <c r="I468" s="298"/>
      <c r="J468" s="320"/>
      <c r="K468" s="320"/>
      <c r="L468" s="335"/>
      <c r="M468" s="320"/>
      <c r="N468" s="320"/>
      <c r="O468" s="292"/>
    </row>
    <row r="469" spans="1:15" x14ac:dyDescent="0.2">
      <c r="A469" s="280"/>
      <c r="B469" s="100"/>
      <c r="C469" s="100"/>
      <c r="D469" s="100"/>
      <c r="E469" s="100"/>
      <c r="F469" s="100"/>
      <c r="G469" s="100"/>
      <c r="H469" s="297"/>
      <c r="I469" s="298"/>
      <c r="J469" s="320"/>
      <c r="K469" s="320"/>
      <c r="L469" s="335"/>
      <c r="M469" s="320"/>
      <c r="N469" s="320"/>
      <c r="O469" s="292"/>
    </row>
    <row r="470" spans="1:15" x14ac:dyDescent="0.2">
      <c r="A470" s="280"/>
      <c r="B470" s="100"/>
      <c r="C470" s="100"/>
      <c r="D470" s="100"/>
      <c r="E470" s="100"/>
      <c r="F470" s="100"/>
      <c r="G470" s="100"/>
      <c r="H470" s="297"/>
      <c r="I470" s="298"/>
      <c r="J470" s="320"/>
      <c r="K470" s="320"/>
      <c r="L470" s="335"/>
      <c r="M470" s="320"/>
      <c r="N470" s="320"/>
      <c r="O470" s="292"/>
    </row>
    <row r="471" spans="1:15" x14ac:dyDescent="0.2">
      <c r="A471" s="280"/>
      <c r="B471" s="100"/>
      <c r="C471" s="100"/>
      <c r="D471" s="100"/>
      <c r="E471" s="100"/>
      <c r="F471" s="100"/>
      <c r="G471" s="100"/>
      <c r="H471" s="297"/>
      <c r="I471" s="298"/>
      <c r="J471" s="320"/>
      <c r="K471" s="320"/>
      <c r="L471" s="335"/>
      <c r="M471" s="320"/>
      <c r="N471" s="320"/>
      <c r="O471" s="292"/>
    </row>
    <row r="472" spans="1:15" x14ac:dyDescent="0.2">
      <c r="A472" s="280"/>
      <c r="B472" s="100"/>
      <c r="C472" s="100"/>
      <c r="D472" s="100"/>
      <c r="E472" s="100"/>
      <c r="F472" s="100"/>
      <c r="G472" s="100"/>
      <c r="H472" s="297"/>
      <c r="I472" s="298"/>
      <c r="J472" s="320"/>
      <c r="K472" s="320"/>
      <c r="L472" s="335"/>
      <c r="M472" s="320"/>
      <c r="N472" s="320"/>
      <c r="O472" s="292"/>
    </row>
    <row r="473" spans="1:15" x14ac:dyDescent="0.2">
      <c r="A473" s="280"/>
      <c r="B473" s="100"/>
      <c r="C473" s="100"/>
      <c r="D473" s="100"/>
      <c r="E473" s="100"/>
      <c r="F473" s="100"/>
      <c r="G473" s="100"/>
      <c r="H473" s="297"/>
      <c r="I473" s="298"/>
      <c r="J473" s="320"/>
      <c r="K473" s="320"/>
      <c r="L473" s="335"/>
      <c r="M473" s="320"/>
      <c r="N473" s="320"/>
      <c r="O473" s="292"/>
    </row>
    <row r="474" spans="1:15" x14ac:dyDescent="0.2">
      <c r="A474" s="280"/>
      <c r="B474" s="100"/>
      <c r="C474" s="100"/>
      <c r="D474" s="100"/>
      <c r="E474" s="100"/>
      <c r="F474" s="100"/>
      <c r="G474" s="100"/>
      <c r="H474" s="297"/>
      <c r="I474" s="298"/>
      <c r="J474" s="320"/>
      <c r="K474" s="320"/>
      <c r="L474" s="335"/>
      <c r="M474" s="320"/>
      <c r="N474" s="320"/>
      <c r="O474" s="292"/>
    </row>
    <row r="475" spans="1:15" x14ac:dyDescent="0.2">
      <c r="A475" s="280"/>
      <c r="B475" s="100"/>
      <c r="C475" s="100"/>
      <c r="D475" s="100"/>
      <c r="E475" s="100"/>
      <c r="F475" s="100"/>
      <c r="G475" s="100"/>
      <c r="H475" s="297"/>
      <c r="I475" s="298"/>
      <c r="J475" s="320"/>
      <c r="K475" s="320"/>
      <c r="L475" s="335"/>
      <c r="M475" s="320"/>
      <c r="N475" s="320"/>
      <c r="O475" s="292"/>
    </row>
    <row r="476" spans="1:15" x14ac:dyDescent="0.2">
      <c r="A476" s="280"/>
      <c r="B476" s="100"/>
      <c r="C476" s="100"/>
      <c r="D476" s="100"/>
      <c r="E476" s="100"/>
      <c r="F476" s="100"/>
      <c r="G476" s="100"/>
      <c r="H476" s="297"/>
      <c r="I476" s="298"/>
      <c r="J476" s="320"/>
      <c r="K476" s="320"/>
      <c r="L476" s="335"/>
      <c r="M476" s="320"/>
      <c r="N476" s="320"/>
      <c r="O476" s="292"/>
    </row>
    <row r="477" spans="1:15" x14ac:dyDescent="0.2">
      <c r="A477" s="280"/>
      <c r="B477" s="100"/>
      <c r="C477" s="100"/>
      <c r="D477" s="100"/>
      <c r="E477" s="100"/>
      <c r="F477" s="100"/>
      <c r="G477" s="100"/>
      <c r="H477" s="297"/>
      <c r="I477" s="298"/>
      <c r="J477" s="320"/>
      <c r="K477" s="320"/>
      <c r="L477" s="335"/>
      <c r="M477" s="320"/>
      <c r="N477" s="320"/>
      <c r="O477" s="292"/>
    </row>
    <row r="478" spans="1:15" x14ac:dyDescent="0.2">
      <c r="A478" s="280"/>
      <c r="B478" s="100"/>
      <c r="C478" s="100"/>
      <c r="D478" s="100"/>
      <c r="E478" s="100"/>
      <c r="F478" s="100"/>
      <c r="G478" s="100"/>
      <c r="H478" s="297"/>
      <c r="I478" s="298"/>
      <c r="J478" s="320"/>
      <c r="K478" s="320"/>
      <c r="L478" s="335"/>
      <c r="M478" s="320"/>
      <c r="N478" s="320"/>
      <c r="O478" s="292"/>
    </row>
    <row r="479" spans="1:15" x14ac:dyDescent="0.2">
      <c r="A479" s="280"/>
      <c r="B479" s="100"/>
      <c r="C479" s="100"/>
      <c r="D479" s="100"/>
      <c r="E479" s="100"/>
      <c r="F479" s="100"/>
      <c r="G479" s="100"/>
      <c r="H479" s="297"/>
      <c r="I479" s="298"/>
      <c r="J479" s="320"/>
      <c r="K479" s="320"/>
      <c r="L479" s="335"/>
      <c r="M479" s="320"/>
      <c r="N479" s="320"/>
      <c r="O479" s="292"/>
    </row>
    <row r="480" spans="1:15" x14ac:dyDescent="0.2">
      <c r="A480" s="280"/>
      <c r="B480" s="100"/>
      <c r="C480" s="100"/>
      <c r="D480" s="100"/>
      <c r="E480" s="100"/>
      <c r="F480" s="100"/>
      <c r="G480" s="100"/>
      <c r="H480" s="297"/>
      <c r="I480" s="298"/>
      <c r="J480" s="320"/>
      <c r="K480" s="320"/>
      <c r="L480" s="335"/>
      <c r="M480" s="320"/>
      <c r="N480" s="320"/>
      <c r="O480" s="292"/>
    </row>
    <row r="481" spans="1:15" x14ac:dyDescent="0.2">
      <c r="A481" s="280"/>
      <c r="B481" s="100"/>
      <c r="C481" s="100"/>
      <c r="D481" s="100"/>
      <c r="E481" s="100"/>
      <c r="F481" s="100"/>
      <c r="G481" s="100"/>
      <c r="H481" s="297"/>
      <c r="I481" s="298"/>
      <c r="J481" s="320"/>
      <c r="K481" s="320"/>
      <c r="L481" s="335"/>
      <c r="M481" s="320"/>
      <c r="N481" s="320"/>
      <c r="O481" s="292"/>
    </row>
    <row r="482" spans="1:15" x14ac:dyDescent="0.2">
      <c r="A482" s="280"/>
      <c r="B482" s="100"/>
      <c r="C482" s="100"/>
      <c r="D482" s="100"/>
      <c r="E482" s="100"/>
      <c r="F482" s="100"/>
      <c r="G482" s="100"/>
      <c r="H482" s="297"/>
      <c r="I482" s="298"/>
      <c r="J482" s="320"/>
      <c r="K482" s="320"/>
      <c r="L482" s="335"/>
      <c r="M482" s="320"/>
      <c r="N482" s="320"/>
      <c r="O482" s="292"/>
    </row>
    <row r="483" spans="1:15" x14ac:dyDescent="0.2">
      <c r="A483" s="280"/>
      <c r="B483" s="100"/>
      <c r="C483" s="100"/>
      <c r="D483" s="100"/>
      <c r="E483" s="100"/>
      <c r="F483" s="100"/>
      <c r="G483" s="100"/>
      <c r="H483" s="297"/>
      <c r="I483" s="298"/>
      <c r="J483" s="320"/>
      <c r="K483" s="320"/>
      <c r="L483" s="335"/>
      <c r="M483" s="320"/>
      <c r="N483" s="320"/>
      <c r="O483" s="292"/>
    </row>
    <row r="484" spans="1:15" x14ac:dyDescent="0.2">
      <c r="A484" s="280"/>
      <c r="B484" s="100"/>
      <c r="C484" s="100"/>
      <c r="D484" s="100"/>
      <c r="E484" s="100"/>
      <c r="F484" s="100"/>
      <c r="G484" s="100"/>
      <c r="H484" s="297"/>
      <c r="I484" s="298"/>
      <c r="J484" s="320"/>
      <c r="K484" s="320"/>
      <c r="L484" s="335"/>
      <c r="M484" s="320"/>
      <c r="N484" s="320"/>
      <c r="O484" s="292"/>
    </row>
    <row r="485" spans="1:15" x14ac:dyDescent="0.2">
      <c r="A485" s="280"/>
      <c r="B485" s="100"/>
      <c r="C485" s="100"/>
      <c r="D485" s="100"/>
      <c r="E485" s="100"/>
      <c r="F485" s="100"/>
      <c r="G485" s="100"/>
      <c r="H485" s="297"/>
      <c r="I485" s="298"/>
      <c r="J485" s="320"/>
      <c r="K485" s="320"/>
      <c r="L485" s="335"/>
      <c r="M485" s="320"/>
      <c r="N485" s="320"/>
      <c r="O485" s="292"/>
    </row>
    <row r="486" spans="1:15" x14ac:dyDescent="0.2">
      <c r="A486" s="280"/>
      <c r="B486" s="100"/>
      <c r="C486" s="100"/>
      <c r="D486" s="100"/>
      <c r="E486" s="100"/>
      <c r="F486" s="100"/>
      <c r="G486" s="100"/>
      <c r="H486" s="297"/>
      <c r="I486" s="298"/>
      <c r="J486" s="320"/>
      <c r="K486" s="320"/>
      <c r="L486" s="335"/>
      <c r="M486" s="320"/>
      <c r="N486" s="320"/>
      <c r="O486" s="292"/>
    </row>
    <row r="487" spans="1:15" x14ac:dyDescent="0.2">
      <c r="A487" s="280"/>
      <c r="B487" s="100"/>
      <c r="C487" s="100"/>
      <c r="D487" s="100"/>
      <c r="E487" s="100"/>
      <c r="F487" s="100"/>
      <c r="G487" s="100"/>
      <c r="H487" s="297"/>
      <c r="I487" s="298"/>
      <c r="J487" s="320"/>
      <c r="K487" s="320"/>
      <c r="L487" s="335"/>
      <c r="M487" s="320"/>
      <c r="N487" s="320"/>
      <c r="O487" s="292"/>
    </row>
    <row r="488" spans="1:15" x14ac:dyDescent="0.2">
      <c r="A488" s="280"/>
      <c r="B488" s="100"/>
      <c r="C488" s="100"/>
      <c r="D488" s="100"/>
      <c r="E488" s="100"/>
      <c r="F488" s="100"/>
      <c r="G488" s="100"/>
      <c r="H488" s="297"/>
      <c r="I488" s="298"/>
      <c r="J488" s="320"/>
      <c r="K488" s="320"/>
      <c r="L488" s="335"/>
      <c r="M488" s="320"/>
      <c r="N488" s="320"/>
      <c r="O488" s="292"/>
    </row>
    <row r="489" spans="1:15" x14ac:dyDescent="0.2">
      <c r="A489" s="280"/>
      <c r="B489" s="100"/>
      <c r="C489" s="100"/>
      <c r="D489" s="100"/>
      <c r="E489" s="100"/>
      <c r="F489" s="100"/>
      <c r="G489" s="100"/>
      <c r="H489" s="297"/>
      <c r="I489" s="298"/>
      <c r="J489" s="320"/>
      <c r="K489" s="320"/>
      <c r="L489" s="335"/>
      <c r="M489" s="320"/>
      <c r="N489" s="320"/>
      <c r="O489" s="292"/>
    </row>
    <row r="490" spans="1:15" x14ac:dyDescent="0.2">
      <c r="A490" s="280"/>
      <c r="B490" s="100"/>
      <c r="C490" s="100"/>
      <c r="D490" s="100"/>
      <c r="E490" s="100"/>
      <c r="F490" s="100"/>
      <c r="G490" s="100"/>
      <c r="H490" s="297"/>
      <c r="I490" s="298"/>
      <c r="J490" s="320"/>
      <c r="K490" s="320"/>
      <c r="L490" s="335"/>
      <c r="M490" s="320"/>
      <c r="N490" s="320"/>
      <c r="O490" s="292"/>
    </row>
    <row r="491" spans="1:15" x14ac:dyDescent="0.2">
      <c r="A491" s="280"/>
      <c r="B491" s="100"/>
      <c r="C491" s="100"/>
      <c r="D491" s="100"/>
      <c r="E491" s="100"/>
      <c r="F491" s="100"/>
      <c r="G491" s="100"/>
      <c r="H491" s="297"/>
      <c r="I491" s="298"/>
      <c r="J491" s="320"/>
      <c r="K491" s="320"/>
      <c r="L491" s="335"/>
      <c r="M491" s="320"/>
      <c r="N491" s="320"/>
      <c r="O491" s="292"/>
    </row>
    <row r="492" spans="1:15" x14ac:dyDescent="0.2">
      <c r="A492" s="280"/>
      <c r="B492" s="100"/>
      <c r="C492" s="100"/>
      <c r="D492" s="100"/>
      <c r="E492" s="100"/>
      <c r="F492" s="100"/>
      <c r="G492" s="100"/>
      <c r="H492" s="297"/>
      <c r="I492" s="298"/>
      <c r="J492" s="320"/>
      <c r="K492" s="320"/>
      <c r="L492" s="335"/>
      <c r="M492" s="320"/>
      <c r="N492" s="320"/>
      <c r="O492" s="292"/>
    </row>
    <row r="493" spans="1:15" x14ac:dyDescent="0.2">
      <c r="A493" s="280"/>
      <c r="B493" s="100"/>
      <c r="C493" s="100"/>
      <c r="D493" s="100"/>
      <c r="E493" s="100"/>
      <c r="F493" s="100"/>
      <c r="G493" s="100"/>
      <c r="H493" s="297"/>
      <c r="I493" s="298"/>
      <c r="J493" s="320"/>
      <c r="K493" s="320"/>
      <c r="L493" s="335"/>
      <c r="M493" s="320"/>
      <c r="N493" s="320"/>
      <c r="O493" s="292"/>
    </row>
    <row r="494" spans="1:15" x14ac:dyDescent="0.2">
      <c r="A494" s="280"/>
      <c r="B494" s="100"/>
      <c r="C494" s="100"/>
      <c r="D494" s="100"/>
      <c r="E494" s="100"/>
      <c r="F494" s="100"/>
      <c r="G494" s="100"/>
      <c r="H494" s="297"/>
      <c r="I494" s="298"/>
      <c r="J494" s="320"/>
      <c r="K494" s="320"/>
      <c r="L494" s="335"/>
      <c r="M494" s="320"/>
      <c r="N494" s="320"/>
      <c r="O494" s="292"/>
    </row>
    <row r="495" spans="1:15" x14ac:dyDescent="0.2">
      <c r="A495" s="280"/>
      <c r="B495" s="100"/>
      <c r="C495" s="100"/>
      <c r="D495" s="100"/>
      <c r="E495" s="100"/>
      <c r="F495" s="100"/>
      <c r="G495" s="100"/>
      <c r="H495" s="297"/>
      <c r="I495" s="298"/>
      <c r="J495" s="320"/>
      <c r="K495" s="320"/>
      <c r="L495" s="335"/>
      <c r="M495" s="320"/>
      <c r="N495" s="320"/>
      <c r="O495" s="292"/>
    </row>
    <row r="496" spans="1:15" x14ac:dyDescent="0.2">
      <c r="A496" s="280"/>
      <c r="B496" s="100"/>
      <c r="C496" s="100"/>
      <c r="D496" s="100"/>
      <c r="E496" s="100"/>
      <c r="F496" s="100"/>
      <c r="G496" s="100"/>
      <c r="H496" s="297"/>
      <c r="I496" s="298"/>
      <c r="J496" s="320"/>
      <c r="K496" s="320"/>
      <c r="L496" s="335"/>
      <c r="M496" s="320"/>
      <c r="N496" s="320"/>
      <c r="O496" s="292"/>
    </row>
    <row r="497" spans="1:15" x14ac:dyDescent="0.2">
      <c r="A497" s="280"/>
      <c r="B497" s="100"/>
      <c r="C497" s="100"/>
      <c r="D497" s="100"/>
      <c r="E497" s="100"/>
      <c r="F497" s="100"/>
      <c r="G497" s="100"/>
      <c r="H497" s="297"/>
      <c r="I497" s="298"/>
      <c r="J497" s="320"/>
      <c r="K497" s="320"/>
      <c r="L497" s="335"/>
      <c r="M497" s="320"/>
      <c r="N497" s="320"/>
      <c r="O497" s="292"/>
    </row>
    <row r="498" spans="1:15" x14ac:dyDescent="0.2">
      <c r="A498" s="280"/>
      <c r="B498" s="100"/>
      <c r="C498" s="100"/>
      <c r="D498" s="100"/>
      <c r="E498" s="100"/>
      <c r="F498" s="100"/>
      <c r="G498" s="100"/>
      <c r="H498" s="297"/>
      <c r="I498" s="298"/>
      <c r="J498" s="320"/>
      <c r="K498" s="320"/>
      <c r="L498" s="335"/>
      <c r="M498" s="320"/>
      <c r="N498" s="320"/>
      <c r="O498" s="292"/>
    </row>
    <row r="499" spans="1:15" x14ac:dyDescent="0.2">
      <c r="A499" s="280"/>
      <c r="B499" s="100"/>
      <c r="C499" s="100"/>
      <c r="D499" s="100"/>
      <c r="E499" s="100"/>
      <c r="F499" s="100"/>
      <c r="G499" s="100"/>
      <c r="H499" s="297"/>
      <c r="I499" s="298"/>
      <c r="J499" s="320"/>
      <c r="K499" s="320"/>
      <c r="L499" s="335"/>
      <c r="M499" s="320"/>
      <c r="N499" s="320"/>
      <c r="O499" s="292"/>
    </row>
    <row r="500" spans="1:15" x14ac:dyDescent="0.2">
      <c r="A500" s="280"/>
      <c r="B500" s="100"/>
      <c r="C500" s="100"/>
      <c r="D500" s="100"/>
      <c r="E500" s="100"/>
      <c r="F500" s="100"/>
      <c r="G500" s="100"/>
      <c r="H500" s="297"/>
      <c r="I500" s="298"/>
      <c r="J500" s="320"/>
      <c r="K500" s="320"/>
      <c r="L500" s="335"/>
      <c r="M500" s="320"/>
      <c r="N500" s="320"/>
      <c r="O500" s="292"/>
    </row>
    <row r="501" spans="1:15" x14ac:dyDescent="0.2">
      <c r="A501" s="280"/>
      <c r="B501" s="100"/>
      <c r="C501" s="100"/>
      <c r="D501" s="100"/>
      <c r="E501" s="100"/>
      <c r="F501" s="100"/>
      <c r="G501" s="100"/>
      <c r="H501" s="297"/>
      <c r="I501" s="298"/>
      <c r="J501" s="320"/>
      <c r="K501" s="320"/>
      <c r="L501" s="335"/>
      <c r="M501" s="320"/>
      <c r="N501" s="320"/>
      <c r="O501" s="292"/>
    </row>
    <row r="502" spans="1:15" x14ac:dyDescent="0.2">
      <c r="A502" s="280"/>
      <c r="B502" s="100"/>
      <c r="C502" s="100"/>
      <c r="D502" s="100"/>
      <c r="E502" s="100"/>
      <c r="F502" s="100"/>
      <c r="G502" s="100"/>
      <c r="H502" s="297"/>
      <c r="I502" s="298"/>
      <c r="J502" s="320"/>
      <c r="K502" s="320"/>
      <c r="L502" s="335"/>
      <c r="M502" s="320"/>
      <c r="N502" s="320"/>
      <c r="O502" s="292"/>
    </row>
    <row r="503" spans="1:15" x14ac:dyDescent="0.2">
      <c r="A503" s="280"/>
      <c r="B503" s="100"/>
      <c r="C503" s="100"/>
      <c r="D503" s="100"/>
      <c r="E503" s="100"/>
      <c r="F503" s="100"/>
      <c r="G503" s="100"/>
      <c r="H503" s="297"/>
      <c r="I503" s="298"/>
      <c r="J503" s="320"/>
      <c r="K503" s="320"/>
      <c r="L503" s="335"/>
      <c r="M503" s="320"/>
      <c r="N503" s="320"/>
      <c r="O503" s="292"/>
    </row>
    <row r="504" spans="1:15" x14ac:dyDescent="0.2">
      <c r="A504" s="280"/>
      <c r="B504" s="100"/>
      <c r="C504" s="100"/>
      <c r="D504" s="100"/>
      <c r="E504" s="100"/>
      <c r="F504" s="100"/>
      <c r="G504" s="100"/>
      <c r="H504" s="297"/>
      <c r="I504" s="298"/>
      <c r="J504" s="320"/>
      <c r="K504" s="320"/>
      <c r="L504" s="335"/>
      <c r="M504" s="320"/>
      <c r="N504" s="320"/>
      <c r="O504" s="292"/>
    </row>
    <row r="505" spans="1:15" x14ac:dyDescent="0.2">
      <c r="A505" s="280"/>
      <c r="B505" s="100"/>
      <c r="C505" s="100"/>
      <c r="D505" s="100"/>
      <c r="E505" s="100"/>
      <c r="F505" s="100"/>
      <c r="G505" s="100"/>
      <c r="H505" s="297"/>
      <c r="I505" s="298"/>
      <c r="J505" s="320"/>
      <c r="K505" s="320"/>
      <c r="L505" s="335"/>
      <c r="M505" s="320"/>
      <c r="N505" s="320"/>
      <c r="O505" s="292"/>
    </row>
    <row r="506" spans="1:15" x14ac:dyDescent="0.2">
      <c r="A506" s="280"/>
      <c r="B506" s="100"/>
      <c r="C506" s="100"/>
      <c r="D506" s="100"/>
      <c r="E506" s="100"/>
      <c r="F506" s="100"/>
      <c r="G506" s="100"/>
      <c r="H506" s="297"/>
      <c r="I506" s="298"/>
      <c r="J506" s="320"/>
      <c r="K506" s="320"/>
      <c r="L506" s="335"/>
      <c r="M506" s="320"/>
      <c r="N506" s="320"/>
      <c r="O506" s="292"/>
    </row>
    <row r="507" spans="1:15" x14ac:dyDescent="0.2">
      <c r="A507" s="280"/>
      <c r="B507" s="100"/>
      <c r="C507" s="100"/>
      <c r="D507" s="100"/>
      <c r="E507" s="100"/>
      <c r="F507" s="100"/>
      <c r="G507" s="100"/>
      <c r="H507" s="297"/>
      <c r="I507" s="298"/>
      <c r="J507" s="320"/>
      <c r="K507" s="320"/>
      <c r="L507" s="335"/>
      <c r="M507" s="320"/>
      <c r="N507" s="320"/>
      <c r="O507" s="292"/>
    </row>
    <row r="508" spans="1:15" x14ac:dyDescent="0.2">
      <c r="A508" s="280"/>
      <c r="B508" s="100"/>
      <c r="C508" s="100"/>
      <c r="D508" s="100"/>
      <c r="E508" s="100"/>
      <c r="F508" s="100"/>
      <c r="G508" s="100"/>
      <c r="H508" s="297"/>
      <c r="I508" s="298"/>
      <c r="J508" s="320"/>
      <c r="K508" s="320"/>
      <c r="L508" s="335"/>
      <c r="M508" s="320"/>
      <c r="N508" s="320"/>
      <c r="O508" s="292"/>
    </row>
    <row r="509" spans="1:15" x14ac:dyDescent="0.2">
      <c r="A509" s="280"/>
      <c r="B509" s="100"/>
      <c r="C509" s="100"/>
      <c r="D509" s="100"/>
      <c r="E509" s="100"/>
      <c r="F509" s="100"/>
      <c r="G509" s="100"/>
      <c r="H509" s="297"/>
      <c r="I509" s="298"/>
      <c r="J509" s="320"/>
      <c r="K509" s="320"/>
      <c r="L509" s="335"/>
      <c r="M509" s="320"/>
      <c r="N509" s="320"/>
      <c r="O509" s="292"/>
    </row>
    <row r="510" spans="1:15" x14ac:dyDescent="0.2">
      <c r="A510" s="280"/>
      <c r="B510" s="100"/>
      <c r="C510" s="100"/>
      <c r="D510" s="100"/>
      <c r="E510" s="100"/>
      <c r="F510" s="100"/>
      <c r="G510" s="100"/>
      <c r="H510" s="297"/>
      <c r="I510" s="298"/>
      <c r="J510" s="320"/>
      <c r="K510" s="320"/>
      <c r="L510" s="335"/>
      <c r="M510" s="320"/>
      <c r="N510" s="320"/>
      <c r="O510" s="292"/>
    </row>
    <row r="511" spans="1:15" x14ac:dyDescent="0.2">
      <c r="A511" s="280"/>
      <c r="B511" s="100"/>
      <c r="C511" s="100"/>
      <c r="D511" s="100"/>
      <c r="E511" s="100"/>
      <c r="F511" s="100"/>
      <c r="G511" s="100"/>
      <c r="H511" s="297"/>
      <c r="I511" s="298"/>
      <c r="J511" s="320"/>
      <c r="K511" s="320"/>
      <c r="L511" s="335"/>
      <c r="M511" s="320"/>
      <c r="N511" s="320"/>
      <c r="O511" s="292"/>
    </row>
    <row r="512" spans="1:15" x14ac:dyDescent="0.2">
      <c r="A512" s="280"/>
      <c r="B512" s="100"/>
      <c r="C512" s="100"/>
      <c r="D512" s="100"/>
      <c r="E512" s="100"/>
      <c r="F512" s="100"/>
      <c r="G512" s="100"/>
      <c r="H512" s="297"/>
      <c r="I512" s="298"/>
      <c r="J512" s="320"/>
      <c r="K512" s="320"/>
      <c r="L512" s="335"/>
      <c r="M512" s="320"/>
      <c r="N512" s="320"/>
      <c r="O512" s="292"/>
    </row>
    <row r="513" spans="1:15" x14ac:dyDescent="0.2">
      <c r="A513" s="280"/>
      <c r="B513" s="100"/>
      <c r="C513" s="100"/>
      <c r="D513" s="100"/>
      <c r="E513" s="100"/>
      <c r="F513" s="100"/>
      <c r="G513" s="100"/>
      <c r="H513" s="297"/>
      <c r="I513" s="298"/>
      <c r="J513" s="320"/>
      <c r="K513" s="320"/>
      <c r="L513" s="335"/>
      <c r="M513" s="320"/>
      <c r="N513" s="320"/>
      <c r="O513" s="292"/>
    </row>
    <row r="514" spans="1:15" x14ac:dyDescent="0.2">
      <c r="A514" s="280"/>
      <c r="B514" s="100"/>
      <c r="C514" s="100"/>
      <c r="D514" s="100"/>
      <c r="E514" s="100"/>
      <c r="F514" s="100"/>
      <c r="G514" s="100"/>
      <c r="H514" s="297"/>
      <c r="I514" s="298"/>
      <c r="J514" s="320"/>
      <c r="K514" s="320"/>
      <c r="L514" s="335"/>
      <c r="M514" s="320"/>
      <c r="N514" s="320"/>
      <c r="O514" s="292"/>
    </row>
    <row r="515" spans="1:15" x14ac:dyDescent="0.2">
      <c r="A515" s="280"/>
      <c r="B515" s="100"/>
      <c r="C515" s="100"/>
      <c r="D515" s="100"/>
      <c r="E515" s="100"/>
      <c r="F515" s="100"/>
      <c r="G515" s="100"/>
      <c r="H515" s="297"/>
      <c r="I515" s="298"/>
      <c r="J515" s="320"/>
      <c r="K515" s="320"/>
      <c r="L515" s="335"/>
      <c r="M515" s="320"/>
      <c r="N515" s="320"/>
      <c r="O515" s="292"/>
    </row>
    <row r="516" spans="1:15" x14ac:dyDescent="0.2">
      <c r="A516" s="280"/>
      <c r="B516" s="100"/>
      <c r="C516" s="100"/>
      <c r="D516" s="100"/>
      <c r="E516" s="100"/>
      <c r="F516" s="100"/>
      <c r="G516" s="100"/>
      <c r="H516" s="297"/>
      <c r="I516" s="298"/>
      <c r="J516" s="320"/>
      <c r="K516" s="320"/>
      <c r="L516" s="335"/>
      <c r="M516" s="320"/>
      <c r="N516" s="320"/>
      <c r="O516" s="292"/>
    </row>
    <row r="517" spans="1:15" x14ac:dyDescent="0.2">
      <c r="A517" s="280"/>
      <c r="B517" s="100"/>
      <c r="C517" s="100"/>
      <c r="D517" s="100"/>
      <c r="E517" s="100"/>
      <c r="F517" s="100"/>
      <c r="G517" s="100"/>
      <c r="H517" s="297"/>
      <c r="I517" s="298"/>
      <c r="J517" s="320"/>
      <c r="K517" s="320"/>
      <c r="L517" s="335"/>
      <c r="M517" s="320"/>
      <c r="N517" s="320"/>
      <c r="O517" s="292"/>
    </row>
    <row r="518" spans="1:15" x14ac:dyDescent="0.2">
      <c r="A518" s="280"/>
      <c r="B518" s="100"/>
      <c r="C518" s="100"/>
      <c r="D518" s="100"/>
      <c r="E518" s="100"/>
      <c r="F518" s="100"/>
      <c r="G518" s="100"/>
      <c r="H518" s="297"/>
      <c r="I518" s="298"/>
      <c r="J518" s="320"/>
      <c r="K518" s="320"/>
      <c r="L518" s="335"/>
      <c r="M518" s="320"/>
      <c r="N518" s="320"/>
      <c r="O518" s="292"/>
    </row>
    <row r="519" spans="1:15" x14ac:dyDescent="0.2">
      <c r="A519" s="280"/>
      <c r="B519" s="100"/>
      <c r="C519" s="100"/>
      <c r="D519" s="100"/>
      <c r="E519" s="100"/>
      <c r="F519" s="100"/>
      <c r="G519" s="100"/>
      <c r="H519" s="297"/>
      <c r="I519" s="298"/>
      <c r="J519" s="320"/>
      <c r="K519" s="320"/>
      <c r="L519" s="335"/>
      <c r="M519" s="320"/>
      <c r="N519" s="320"/>
      <c r="O519" s="292"/>
    </row>
    <row r="520" spans="1:15" x14ac:dyDescent="0.2">
      <c r="A520" s="280"/>
      <c r="B520" s="100"/>
      <c r="C520" s="100"/>
      <c r="D520" s="100"/>
      <c r="E520" s="100"/>
      <c r="F520" s="100"/>
      <c r="G520" s="100"/>
      <c r="H520" s="297"/>
      <c r="I520" s="298"/>
      <c r="J520" s="320"/>
      <c r="K520" s="320"/>
      <c r="L520" s="335"/>
      <c r="M520" s="320"/>
      <c r="N520" s="320"/>
      <c r="O520" s="292"/>
    </row>
    <row r="521" spans="1:15" x14ac:dyDescent="0.2">
      <c r="A521" s="280"/>
      <c r="B521" s="100"/>
      <c r="C521" s="100"/>
      <c r="D521" s="100"/>
      <c r="E521" s="100"/>
      <c r="F521" s="100"/>
      <c r="G521" s="100"/>
      <c r="H521" s="297"/>
      <c r="I521" s="298"/>
      <c r="J521" s="320"/>
      <c r="K521" s="320"/>
      <c r="L521" s="335"/>
      <c r="M521" s="320"/>
      <c r="N521" s="320"/>
      <c r="O521" s="292"/>
    </row>
    <row r="522" spans="1:15" x14ac:dyDescent="0.2">
      <c r="A522" s="280"/>
      <c r="B522" s="100"/>
      <c r="C522" s="100"/>
      <c r="D522" s="100"/>
      <c r="E522" s="100"/>
      <c r="F522" s="100"/>
      <c r="G522" s="100"/>
      <c r="H522" s="297"/>
      <c r="I522" s="298"/>
      <c r="J522" s="320"/>
      <c r="K522" s="320"/>
      <c r="L522" s="335"/>
      <c r="M522" s="320"/>
      <c r="N522" s="320"/>
      <c r="O522" s="292"/>
    </row>
    <row r="523" spans="1:15" x14ac:dyDescent="0.2">
      <c r="A523" s="280"/>
      <c r="B523" s="100"/>
      <c r="C523" s="100"/>
      <c r="D523" s="100"/>
      <c r="E523" s="100"/>
      <c r="F523" s="100"/>
      <c r="G523" s="100"/>
      <c r="H523" s="297"/>
      <c r="I523" s="298"/>
      <c r="J523" s="320"/>
      <c r="K523" s="320"/>
      <c r="L523" s="335"/>
      <c r="M523" s="320"/>
      <c r="N523" s="320"/>
      <c r="O523" s="292"/>
    </row>
    <row r="524" spans="1:15" x14ac:dyDescent="0.2">
      <c r="A524" s="280"/>
      <c r="B524" s="100"/>
      <c r="C524" s="100"/>
      <c r="D524" s="100"/>
      <c r="E524" s="100"/>
      <c r="F524" s="100"/>
      <c r="G524" s="100"/>
      <c r="H524" s="297"/>
      <c r="I524" s="298"/>
      <c r="J524" s="320"/>
      <c r="K524" s="320"/>
      <c r="L524" s="335"/>
      <c r="M524" s="320"/>
      <c r="N524" s="320"/>
      <c r="O524" s="292"/>
    </row>
    <row r="525" spans="1:15" x14ac:dyDescent="0.2">
      <c r="A525" s="280"/>
      <c r="B525" s="100"/>
      <c r="C525" s="100"/>
      <c r="D525" s="100"/>
      <c r="E525" s="100"/>
      <c r="F525" s="100"/>
      <c r="G525" s="100"/>
      <c r="H525" s="297"/>
      <c r="I525" s="298"/>
      <c r="J525" s="320"/>
      <c r="K525" s="320"/>
      <c r="L525" s="335"/>
      <c r="M525" s="320"/>
      <c r="N525" s="320"/>
      <c r="O525" s="292"/>
    </row>
    <row r="526" spans="1:15" x14ac:dyDescent="0.2">
      <c r="A526" s="280"/>
      <c r="B526" s="100"/>
      <c r="C526" s="100"/>
      <c r="D526" s="100"/>
      <c r="E526" s="100"/>
      <c r="F526" s="100"/>
      <c r="G526" s="100"/>
      <c r="H526" s="297"/>
      <c r="I526" s="298"/>
      <c r="J526" s="320"/>
      <c r="K526" s="320"/>
      <c r="L526" s="335"/>
      <c r="M526" s="320"/>
      <c r="N526" s="320"/>
      <c r="O526" s="292"/>
    </row>
    <row r="527" spans="1:15" x14ac:dyDescent="0.2">
      <c r="A527" s="280"/>
      <c r="B527" s="100"/>
      <c r="C527" s="100"/>
      <c r="D527" s="100"/>
      <c r="E527" s="100"/>
      <c r="F527" s="100"/>
      <c r="G527" s="100"/>
      <c r="H527" s="297"/>
      <c r="I527" s="298"/>
      <c r="J527" s="320"/>
      <c r="K527" s="320"/>
      <c r="L527" s="335"/>
      <c r="M527" s="320"/>
      <c r="N527" s="320"/>
      <c r="O527" s="292"/>
    </row>
    <row r="528" spans="1:15" x14ac:dyDescent="0.2">
      <c r="A528" s="280"/>
      <c r="B528" s="100"/>
      <c r="C528" s="100"/>
      <c r="D528" s="100"/>
      <c r="E528" s="100"/>
      <c r="F528" s="100"/>
      <c r="G528" s="100"/>
      <c r="H528" s="297"/>
      <c r="I528" s="298"/>
      <c r="J528" s="320"/>
      <c r="K528" s="320"/>
      <c r="L528" s="335"/>
      <c r="M528" s="320"/>
      <c r="N528" s="320"/>
      <c r="O528" s="292"/>
    </row>
    <row r="529" spans="1:15" x14ac:dyDescent="0.2">
      <c r="A529" s="280"/>
      <c r="B529" s="100"/>
      <c r="C529" s="100"/>
      <c r="D529" s="100"/>
      <c r="E529" s="100"/>
      <c r="F529" s="100"/>
      <c r="G529" s="100"/>
      <c r="H529" s="297"/>
      <c r="I529" s="298"/>
      <c r="J529" s="320"/>
      <c r="K529" s="320"/>
      <c r="L529" s="335"/>
      <c r="M529" s="320"/>
      <c r="N529" s="320"/>
      <c r="O529" s="292"/>
    </row>
    <row r="530" spans="1:15" x14ac:dyDescent="0.2">
      <c r="A530" s="280"/>
      <c r="B530" s="100"/>
      <c r="C530" s="100"/>
      <c r="D530" s="100"/>
      <c r="E530" s="100"/>
      <c r="F530" s="100"/>
      <c r="G530" s="100"/>
      <c r="H530" s="297"/>
      <c r="I530" s="298"/>
      <c r="J530" s="320"/>
      <c r="K530" s="320"/>
      <c r="L530" s="335"/>
      <c r="M530" s="320"/>
      <c r="N530" s="320"/>
      <c r="O530" s="292"/>
    </row>
    <row r="531" spans="1:15" x14ac:dyDescent="0.2">
      <c r="A531" s="280"/>
      <c r="B531" s="100"/>
      <c r="C531" s="100"/>
      <c r="D531" s="100"/>
      <c r="E531" s="100"/>
      <c r="F531" s="100"/>
      <c r="G531" s="100"/>
      <c r="H531" s="297"/>
      <c r="I531" s="298"/>
      <c r="J531" s="320"/>
      <c r="K531" s="320"/>
      <c r="L531" s="335"/>
      <c r="M531" s="320"/>
      <c r="N531" s="320"/>
      <c r="O531" s="292"/>
    </row>
    <row r="532" spans="1:15" x14ac:dyDescent="0.2">
      <c r="A532" s="280"/>
      <c r="B532" s="100"/>
      <c r="C532" s="100"/>
      <c r="D532" s="100"/>
      <c r="E532" s="100"/>
      <c r="F532" s="100"/>
      <c r="G532" s="100"/>
      <c r="H532" s="297"/>
      <c r="I532" s="298"/>
      <c r="J532" s="320"/>
      <c r="K532" s="320"/>
      <c r="L532" s="335"/>
      <c r="M532" s="320"/>
      <c r="N532" s="320"/>
      <c r="O532" s="292"/>
    </row>
    <row r="533" spans="1:15" x14ac:dyDescent="0.2">
      <c r="A533" s="280"/>
      <c r="B533" s="100"/>
      <c r="C533" s="100"/>
      <c r="D533" s="100"/>
      <c r="E533" s="100"/>
      <c r="F533" s="100"/>
      <c r="G533" s="100"/>
      <c r="H533" s="297"/>
      <c r="I533" s="298"/>
      <c r="J533" s="320"/>
      <c r="K533" s="320"/>
      <c r="L533" s="335"/>
      <c r="M533" s="320"/>
      <c r="N533" s="320"/>
      <c r="O533" s="292"/>
    </row>
    <row r="534" spans="1:15" x14ac:dyDescent="0.2">
      <c r="A534" s="280"/>
      <c r="B534" s="100"/>
      <c r="C534" s="100"/>
      <c r="D534" s="100"/>
      <c r="E534" s="100"/>
      <c r="F534" s="100"/>
      <c r="G534" s="100"/>
      <c r="H534" s="297"/>
      <c r="I534" s="298"/>
      <c r="J534" s="320"/>
      <c r="K534" s="320"/>
      <c r="L534" s="335"/>
      <c r="M534" s="320"/>
      <c r="N534" s="320"/>
      <c r="O534" s="292"/>
    </row>
    <row r="535" spans="1:15" x14ac:dyDescent="0.2">
      <c r="A535" s="280"/>
      <c r="B535" s="100"/>
      <c r="C535" s="100"/>
      <c r="D535" s="100"/>
      <c r="E535" s="100"/>
      <c r="F535" s="100"/>
      <c r="G535" s="100"/>
      <c r="H535" s="297"/>
      <c r="I535" s="298"/>
      <c r="J535" s="320"/>
      <c r="K535" s="320"/>
      <c r="L535" s="335"/>
      <c r="M535" s="320"/>
      <c r="N535" s="320"/>
      <c r="O535" s="292"/>
    </row>
    <row r="536" spans="1:15" x14ac:dyDescent="0.2">
      <c r="A536" s="280"/>
      <c r="B536" s="100"/>
      <c r="C536" s="100"/>
      <c r="D536" s="100"/>
      <c r="E536" s="100"/>
      <c r="F536" s="100"/>
      <c r="G536" s="100"/>
      <c r="H536" s="297"/>
      <c r="I536" s="298"/>
      <c r="J536" s="320"/>
      <c r="K536" s="320"/>
      <c r="L536" s="335"/>
      <c r="M536" s="320"/>
      <c r="N536" s="320"/>
      <c r="O536" s="292"/>
    </row>
    <row r="537" spans="1:15" x14ac:dyDescent="0.2">
      <c r="A537" s="280"/>
      <c r="B537" s="100"/>
      <c r="C537" s="100"/>
      <c r="D537" s="100"/>
      <c r="E537" s="100"/>
      <c r="F537" s="100"/>
      <c r="G537" s="100"/>
      <c r="H537" s="297"/>
      <c r="I537" s="298"/>
      <c r="J537" s="320"/>
      <c r="K537" s="320"/>
      <c r="L537" s="335"/>
      <c r="M537" s="320"/>
      <c r="N537" s="320"/>
      <c r="O537" s="292"/>
    </row>
    <row r="538" spans="1:15" x14ac:dyDescent="0.2">
      <c r="A538" s="280"/>
      <c r="B538" s="100"/>
      <c r="C538" s="100"/>
      <c r="D538" s="100"/>
      <c r="E538" s="100"/>
      <c r="F538" s="100"/>
      <c r="G538" s="100"/>
      <c r="H538" s="297"/>
      <c r="I538" s="298"/>
      <c r="J538" s="320"/>
      <c r="K538" s="320"/>
      <c r="L538" s="335"/>
      <c r="M538" s="320"/>
      <c r="N538" s="320"/>
      <c r="O538" s="292"/>
    </row>
    <row r="539" spans="1:15" x14ac:dyDescent="0.2">
      <c r="A539" s="280"/>
      <c r="B539" s="100"/>
      <c r="C539" s="100"/>
      <c r="D539" s="100"/>
      <c r="E539" s="100"/>
      <c r="F539" s="100"/>
      <c r="G539" s="100"/>
      <c r="H539" s="297"/>
      <c r="I539" s="298"/>
      <c r="J539" s="320"/>
      <c r="K539" s="320"/>
      <c r="L539" s="335"/>
      <c r="M539" s="320"/>
      <c r="N539" s="320"/>
      <c r="O539" s="292"/>
    </row>
    <row r="540" spans="1:15" x14ac:dyDescent="0.2">
      <c r="A540" s="280"/>
      <c r="B540" s="100"/>
      <c r="C540" s="100"/>
      <c r="D540" s="100"/>
      <c r="E540" s="100"/>
      <c r="F540" s="100"/>
      <c r="G540" s="100"/>
      <c r="H540" s="297"/>
      <c r="I540" s="298"/>
      <c r="J540" s="320"/>
      <c r="K540" s="320"/>
      <c r="L540" s="335"/>
      <c r="M540" s="320"/>
      <c r="N540" s="320"/>
      <c r="O540" s="292"/>
    </row>
    <row r="541" spans="1:15" x14ac:dyDescent="0.2">
      <c r="A541" s="280"/>
      <c r="B541" s="100"/>
      <c r="C541" s="100"/>
      <c r="D541" s="100"/>
      <c r="E541" s="100"/>
      <c r="F541" s="100"/>
      <c r="G541" s="100"/>
      <c r="H541" s="297"/>
      <c r="I541" s="298"/>
      <c r="J541" s="320"/>
      <c r="K541" s="320"/>
      <c r="L541" s="335"/>
      <c r="M541" s="320"/>
      <c r="N541" s="320"/>
      <c r="O541" s="292"/>
    </row>
    <row r="542" spans="1:15" x14ac:dyDescent="0.2">
      <c r="A542" s="280"/>
      <c r="B542" s="100"/>
      <c r="C542" s="100"/>
      <c r="D542" s="100"/>
      <c r="E542" s="100"/>
      <c r="F542" s="100"/>
      <c r="G542" s="100"/>
      <c r="H542" s="297"/>
      <c r="I542" s="298"/>
      <c r="J542" s="320"/>
      <c r="K542" s="320"/>
      <c r="L542" s="335"/>
      <c r="M542" s="320"/>
      <c r="N542" s="320"/>
      <c r="O542" s="292"/>
    </row>
    <row r="543" spans="1:15" x14ac:dyDescent="0.2">
      <c r="A543" s="280"/>
      <c r="B543" s="100"/>
      <c r="C543" s="100"/>
      <c r="D543" s="100"/>
      <c r="E543" s="100"/>
      <c r="F543" s="100"/>
      <c r="G543" s="100"/>
      <c r="H543" s="297"/>
      <c r="I543" s="298"/>
      <c r="J543" s="320"/>
      <c r="K543" s="320"/>
      <c r="L543" s="335"/>
      <c r="M543" s="320"/>
      <c r="N543" s="320"/>
      <c r="O543" s="292"/>
    </row>
    <row r="544" spans="1:15" x14ac:dyDescent="0.2">
      <c r="A544" s="280"/>
      <c r="B544" s="100"/>
      <c r="C544" s="100"/>
      <c r="D544" s="100"/>
      <c r="E544" s="100"/>
      <c r="F544" s="100"/>
      <c r="G544" s="100"/>
      <c r="H544" s="297"/>
      <c r="I544" s="298"/>
      <c r="J544" s="320"/>
      <c r="K544" s="320"/>
      <c r="L544" s="335"/>
      <c r="M544" s="320"/>
      <c r="N544" s="320"/>
      <c r="O544" s="292"/>
    </row>
    <row r="545" spans="1:15" x14ac:dyDescent="0.2">
      <c r="A545" s="280"/>
      <c r="B545" s="100"/>
      <c r="C545" s="100"/>
      <c r="D545" s="100"/>
      <c r="E545" s="100"/>
      <c r="F545" s="100"/>
      <c r="G545" s="100"/>
      <c r="H545" s="297"/>
      <c r="I545" s="298"/>
      <c r="J545" s="320"/>
      <c r="K545" s="320"/>
      <c r="L545" s="335"/>
      <c r="M545" s="320"/>
      <c r="N545" s="320"/>
      <c r="O545" s="292"/>
    </row>
    <row r="546" spans="1:15" x14ac:dyDescent="0.2">
      <c r="A546" s="280"/>
      <c r="B546" s="100"/>
      <c r="C546" s="100"/>
      <c r="D546" s="100"/>
      <c r="E546" s="100"/>
      <c r="F546" s="100"/>
      <c r="G546" s="100"/>
      <c r="H546" s="297"/>
      <c r="I546" s="298"/>
      <c r="J546" s="320"/>
      <c r="K546" s="320"/>
      <c r="L546" s="335"/>
      <c r="M546" s="320"/>
      <c r="N546" s="320"/>
      <c r="O546" s="292"/>
    </row>
    <row r="547" spans="1:15" x14ac:dyDescent="0.2">
      <c r="A547" s="280"/>
      <c r="B547" s="100"/>
      <c r="C547" s="100"/>
      <c r="D547" s="100"/>
      <c r="E547" s="100"/>
      <c r="F547" s="100"/>
      <c r="G547" s="100"/>
      <c r="H547" s="297"/>
      <c r="I547" s="298"/>
      <c r="J547" s="320"/>
      <c r="K547" s="320"/>
      <c r="L547" s="335"/>
      <c r="M547" s="320"/>
      <c r="N547" s="320"/>
      <c r="O547" s="292"/>
    </row>
    <row r="548" spans="1:15" x14ac:dyDescent="0.2">
      <c r="A548" s="280"/>
      <c r="B548" s="100"/>
      <c r="C548" s="100"/>
      <c r="D548" s="100"/>
      <c r="E548" s="100"/>
      <c r="F548" s="100"/>
      <c r="G548" s="100"/>
      <c r="H548" s="297"/>
      <c r="I548" s="298"/>
    </row>
    <row r="549" spans="1:15" x14ac:dyDescent="0.2">
      <c r="A549" s="280"/>
      <c r="B549" s="100"/>
      <c r="C549" s="100"/>
      <c r="D549" s="100"/>
      <c r="E549" s="100"/>
      <c r="F549" s="100"/>
      <c r="G549" s="100"/>
      <c r="H549" s="297"/>
      <c r="I549" s="298"/>
    </row>
    <row r="550" spans="1:15" x14ac:dyDescent="0.2">
      <c r="A550" s="280"/>
      <c r="B550" s="100"/>
      <c r="C550" s="100"/>
      <c r="D550" s="100"/>
      <c r="E550" s="100"/>
      <c r="F550" s="100"/>
      <c r="G550" s="100"/>
      <c r="H550" s="297"/>
      <c r="I550" s="298"/>
    </row>
    <row r="551" spans="1:15" x14ac:dyDescent="0.2">
      <c r="A551" s="280"/>
      <c r="B551" s="100"/>
      <c r="C551" s="100"/>
      <c r="D551" s="100"/>
      <c r="E551" s="100"/>
      <c r="F551" s="100"/>
      <c r="G551" s="100"/>
      <c r="H551" s="297"/>
      <c r="I551" s="298"/>
    </row>
    <row r="552" spans="1:15" x14ac:dyDescent="0.2">
      <c r="A552" s="280"/>
      <c r="B552" s="100"/>
      <c r="C552" s="100"/>
      <c r="D552" s="100"/>
      <c r="E552" s="100"/>
      <c r="F552" s="100"/>
      <c r="G552" s="100"/>
      <c r="H552" s="297"/>
      <c r="I552" s="298"/>
    </row>
    <row r="553" spans="1:15" x14ac:dyDescent="0.2">
      <c r="A553" s="280"/>
      <c r="B553" s="100"/>
      <c r="C553" s="100"/>
      <c r="D553" s="100"/>
      <c r="E553" s="100"/>
      <c r="F553" s="100"/>
      <c r="G553" s="100"/>
      <c r="H553" s="297"/>
      <c r="I553" s="298"/>
    </row>
    <row r="554" spans="1:15" x14ac:dyDescent="0.2">
      <c r="A554" s="280"/>
      <c r="B554" s="100"/>
      <c r="C554" s="100"/>
      <c r="D554" s="100"/>
      <c r="E554" s="100"/>
      <c r="F554" s="100"/>
      <c r="G554" s="100"/>
      <c r="H554" s="297"/>
      <c r="I554" s="298"/>
    </row>
    <row r="555" spans="1:15" x14ac:dyDescent="0.2">
      <c r="A555" s="280"/>
      <c r="B555" s="100"/>
      <c r="C555" s="100"/>
      <c r="D555" s="100"/>
      <c r="E555" s="100"/>
      <c r="F555" s="100"/>
      <c r="G555" s="100"/>
      <c r="H555" s="297"/>
      <c r="I555" s="298"/>
    </row>
    <row r="556" spans="1:15" x14ac:dyDescent="0.2">
      <c r="A556" s="280"/>
      <c r="B556" s="100"/>
      <c r="C556" s="100"/>
      <c r="D556" s="100"/>
      <c r="E556" s="100"/>
      <c r="F556" s="100"/>
      <c r="G556" s="100"/>
      <c r="H556" s="297"/>
      <c r="I556" s="298"/>
    </row>
    <row r="557" spans="1:15" x14ac:dyDescent="0.2">
      <c r="A557" s="280"/>
      <c r="B557" s="100"/>
      <c r="C557" s="100"/>
      <c r="D557" s="100"/>
      <c r="E557" s="100"/>
      <c r="F557" s="100"/>
      <c r="G557" s="100"/>
      <c r="H557" s="297"/>
      <c r="I557" s="298"/>
    </row>
    <row r="558" spans="1:15" x14ac:dyDescent="0.2">
      <c r="A558" s="280"/>
      <c r="B558" s="100"/>
      <c r="C558" s="100"/>
      <c r="D558" s="100"/>
      <c r="E558" s="100"/>
      <c r="F558" s="100"/>
      <c r="G558" s="100"/>
      <c r="H558" s="297"/>
      <c r="I558" s="298"/>
    </row>
    <row r="559" spans="1:15" x14ac:dyDescent="0.2">
      <c r="A559" s="280"/>
      <c r="B559" s="100"/>
      <c r="C559" s="100"/>
      <c r="D559" s="100"/>
      <c r="E559" s="100"/>
      <c r="F559" s="100"/>
      <c r="G559" s="100"/>
      <c r="H559" s="297"/>
      <c r="I559" s="298"/>
    </row>
    <row r="560" spans="1:15" x14ac:dyDescent="0.2">
      <c r="A560" s="280"/>
      <c r="B560" s="100"/>
      <c r="C560" s="100"/>
      <c r="D560" s="100"/>
      <c r="E560" s="100"/>
      <c r="F560" s="100"/>
      <c r="G560" s="100"/>
      <c r="H560" s="297"/>
      <c r="I560" s="298"/>
    </row>
  </sheetData>
  <autoFilter ref="A3:O219" xr:uid="{D7E9DAA2-2966-5D41-8C53-C7677C369F4D}"/>
  <mergeCells count="5">
    <mergeCell ref="J2:N2"/>
    <mergeCell ref="H2:I2"/>
    <mergeCell ref="H229:I229"/>
    <mergeCell ref="H231:I231"/>
    <mergeCell ref="H233:I233"/>
  </mergeCells>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74DC4-4D6A-984D-A93D-BABAF4294DEA}">
  <dimension ref="A1:G26"/>
  <sheetViews>
    <sheetView zoomScale="130" zoomScaleNormal="130" workbookViewId="0">
      <selection activeCell="C18" sqref="C18"/>
    </sheetView>
  </sheetViews>
  <sheetFormatPr baseColWidth="10" defaultRowHeight="15" x14ac:dyDescent="0.2"/>
  <cols>
    <col min="1" max="1" width="14.5" customWidth="1"/>
    <col min="2" max="2" width="9.1640625" bestFit="1" customWidth="1"/>
    <col min="3" max="3" width="10" bestFit="1" customWidth="1"/>
    <col min="4" max="4" width="9.1640625" bestFit="1" customWidth="1"/>
    <col min="5" max="5" width="12.6640625" bestFit="1" customWidth="1"/>
  </cols>
  <sheetData>
    <row r="1" spans="1:7" x14ac:dyDescent="0.2">
      <c r="A1" t="s">
        <v>954</v>
      </c>
    </row>
    <row r="3" spans="1:7" x14ac:dyDescent="0.2">
      <c r="A3" s="55" t="s">
        <v>955</v>
      </c>
      <c r="B3" s="55" t="s">
        <v>956</v>
      </c>
      <c r="C3" s="55" t="s">
        <v>1011</v>
      </c>
      <c r="D3" s="55" t="s">
        <v>957</v>
      </c>
      <c r="E3" s="55" t="s">
        <v>957</v>
      </c>
      <c r="G3" t="s">
        <v>958</v>
      </c>
    </row>
    <row r="4" spans="1:7" x14ac:dyDescent="0.2">
      <c r="A4" s="55"/>
      <c r="B4" s="55" t="s">
        <v>959</v>
      </c>
      <c r="C4" s="55" t="s">
        <v>959</v>
      </c>
      <c r="D4" s="55" t="s">
        <v>959</v>
      </c>
      <c r="E4" s="55" t="s">
        <v>960</v>
      </c>
      <c r="G4" t="s">
        <v>961</v>
      </c>
    </row>
    <row r="5" spans="1:7" x14ac:dyDescent="0.2">
      <c r="A5" s="55" t="s">
        <v>962</v>
      </c>
      <c r="B5" s="55"/>
      <c r="C5" s="55"/>
      <c r="D5" s="55"/>
      <c r="E5" s="55"/>
    </row>
    <row r="6" spans="1:7" x14ac:dyDescent="0.2">
      <c r="A6" s="55" t="s">
        <v>963</v>
      </c>
      <c r="B6" s="366">
        <v>19311.080000000009</v>
      </c>
      <c r="C6" s="366">
        <f>'AGAR CheckCalcs'!O232</f>
        <v>15187.070000000003</v>
      </c>
      <c r="D6" s="366">
        <f>C6-B6</f>
        <v>-4124.0100000000057</v>
      </c>
      <c r="E6" s="365">
        <f>D6/B6</f>
        <v>-0.21355667316380045</v>
      </c>
    </row>
    <row r="7" spans="1:7" x14ac:dyDescent="0.2">
      <c r="A7" s="55" t="s">
        <v>964</v>
      </c>
      <c r="B7" s="366"/>
      <c r="C7" s="366"/>
      <c r="D7" s="366"/>
      <c r="E7" s="55"/>
    </row>
    <row r="8" spans="1:7" x14ac:dyDescent="0.2">
      <c r="A8" s="55" t="s">
        <v>889</v>
      </c>
      <c r="B8" s="366">
        <v>25000</v>
      </c>
      <c r="C8" s="366">
        <f>'AGAR CheckCalcs'!J233</f>
        <v>26500</v>
      </c>
      <c r="D8" s="366">
        <f t="shared" ref="D8:D24" si="0">C8-B8</f>
        <v>1500</v>
      </c>
      <c r="E8" s="365">
        <f>D8/B8</f>
        <v>0.06</v>
      </c>
    </row>
    <row r="9" spans="1:7" x14ac:dyDescent="0.2">
      <c r="A9" s="55" t="s">
        <v>965</v>
      </c>
      <c r="B9" s="366"/>
      <c r="C9" s="366"/>
      <c r="D9" s="366"/>
      <c r="E9" s="55"/>
    </row>
    <row r="10" spans="1:7" x14ac:dyDescent="0.2">
      <c r="A10" s="55" t="s">
        <v>890</v>
      </c>
      <c r="B10" s="366">
        <v>17518.52</v>
      </c>
      <c r="C10" s="366">
        <f>'AGAR CheckCalcs'!K233</f>
        <v>3654.6699999999996</v>
      </c>
      <c r="D10" s="366">
        <f t="shared" si="0"/>
        <v>-13863.85</v>
      </c>
      <c r="E10" s="365">
        <f>D10/B10</f>
        <v>-0.79138249121501136</v>
      </c>
      <c r="G10" t="s">
        <v>966</v>
      </c>
    </row>
    <row r="11" spans="1:7" x14ac:dyDescent="0.2">
      <c r="A11" s="55" t="s">
        <v>967</v>
      </c>
      <c r="B11" s="366"/>
      <c r="C11" s="366"/>
      <c r="D11" s="366"/>
      <c r="E11" s="55"/>
    </row>
    <row r="12" spans="1:7" x14ac:dyDescent="0.2">
      <c r="A12" s="55" t="s">
        <v>968</v>
      </c>
      <c r="B12" s="366">
        <v>6240</v>
      </c>
      <c r="C12" s="366">
        <f>'AGAR CheckCalcs'!L233</f>
        <v>6721.4800000000014</v>
      </c>
      <c r="D12" s="366">
        <f t="shared" si="0"/>
        <v>481.48000000000138</v>
      </c>
      <c r="E12" s="365">
        <f>D12/B12</f>
        <v>7.7160256410256631E-2</v>
      </c>
      <c r="G12" t="s">
        <v>969</v>
      </c>
    </row>
    <row r="13" spans="1:7" x14ac:dyDescent="0.2">
      <c r="A13" s="55" t="s">
        <v>970</v>
      </c>
      <c r="B13" s="366"/>
      <c r="C13" s="366"/>
      <c r="D13" s="366"/>
      <c r="E13" s="55"/>
    </row>
    <row r="14" spans="1:7" x14ac:dyDescent="0.2">
      <c r="A14" s="55" t="s">
        <v>971</v>
      </c>
      <c r="B14" s="366">
        <v>0</v>
      </c>
      <c r="C14" s="366">
        <v>0</v>
      </c>
      <c r="D14" s="366">
        <f t="shared" si="0"/>
        <v>0</v>
      </c>
      <c r="E14" s="365">
        <v>0</v>
      </c>
      <c r="G14" t="s">
        <v>972</v>
      </c>
    </row>
    <row r="15" spans="1:7" x14ac:dyDescent="0.2">
      <c r="A15" s="55" t="s">
        <v>973</v>
      </c>
      <c r="B15" s="366"/>
      <c r="C15" s="366"/>
      <c r="D15" s="366"/>
      <c r="E15" s="55"/>
    </row>
    <row r="16" spans="1:7" x14ac:dyDescent="0.2">
      <c r="A16" s="55" t="s">
        <v>974</v>
      </c>
      <c r="B16" s="366">
        <v>40402.529999999992</v>
      </c>
      <c r="C16" s="366">
        <f>'AGAR CheckCalcs'!M233</f>
        <v>22870.350000000002</v>
      </c>
      <c r="D16" s="366">
        <f t="shared" si="0"/>
        <v>-17532.179999999989</v>
      </c>
      <c r="E16" s="365">
        <f>D16/B16</f>
        <v>-0.43393767667519811</v>
      </c>
      <c r="G16" t="s">
        <v>975</v>
      </c>
    </row>
    <row r="17" spans="1:7" x14ac:dyDescent="0.2">
      <c r="A17" s="55" t="s">
        <v>902</v>
      </c>
      <c r="B17" s="366"/>
      <c r="C17" s="366"/>
      <c r="D17" s="366"/>
      <c r="E17" s="55"/>
    </row>
    <row r="18" spans="1:7" x14ac:dyDescent="0.2">
      <c r="A18" s="55" t="s">
        <v>976</v>
      </c>
      <c r="B18" s="366">
        <v>15187.070000000022</v>
      </c>
      <c r="C18" s="366">
        <f>'AGAR CheckCalcs'!O234</f>
        <v>15749.909999999996</v>
      </c>
      <c r="D18" s="366">
        <f t="shared" si="0"/>
        <v>562.83999999997468</v>
      </c>
      <c r="E18" s="365">
        <f>D18/B18</f>
        <v>3.7060473152489185E-2</v>
      </c>
    </row>
    <row r="19" spans="1:7" x14ac:dyDescent="0.2">
      <c r="A19" s="55" t="s">
        <v>906</v>
      </c>
      <c r="B19" s="366"/>
      <c r="C19" s="366"/>
      <c r="D19" s="366"/>
      <c r="E19" s="55"/>
    </row>
    <row r="20" spans="1:7" x14ac:dyDescent="0.2">
      <c r="A20" s="55" t="s">
        <v>977</v>
      </c>
      <c r="B20" s="366">
        <v>16548.22</v>
      </c>
      <c r="C20" s="366">
        <f>'AGAR CheckCalcs'!D253</f>
        <v>18027.769999999997</v>
      </c>
      <c r="D20" s="366">
        <f t="shared" si="0"/>
        <v>1479.5499999999956</v>
      </c>
      <c r="E20" s="365">
        <f>D20/B20</f>
        <v>8.9408407671640544E-2</v>
      </c>
    </row>
    <row r="21" spans="1:7" x14ac:dyDescent="0.2">
      <c r="A21" s="55" t="s">
        <v>978</v>
      </c>
      <c r="B21" s="366"/>
      <c r="C21" s="366"/>
      <c r="D21" s="366"/>
      <c r="E21" s="55"/>
    </row>
    <row r="22" spans="1:7" x14ac:dyDescent="0.2">
      <c r="A22" s="55" t="s">
        <v>979</v>
      </c>
      <c r="B22" s="366">
        <v>72081</v>
      </c>
      <c r="C22" s="366">
        <v>72081</v>
      </c>
      <c r="D22" s="366">
        <f t="shared" si="0"/>
        <v>0</v>
      </c>
      <c r="E22" s="365">
        <f>D22/B22</f>
        <v>0</v>
      </c>
      <c r="G22" t="s">
        <v>980</v>
      </c>
    </row>
    <row r="23" spans="1:7" x14ac:dyDescent="0.2">
      <c r="A23" s="55" t="s">
        <v>981</v>
      </c>
      <c r="B23" s="366"/>
      <c r="C23" s="366"/>
      <c r="D23" s="366"/>
      <c r="E23" s="55"/>
    </row>
    <row r="24" spans="1:7" x14ac:dyDescent="0.2">
      <c r="A24" s="55" t="s">
        <v>982</v>
      </c>
      <c r="B24" s="366">
        <v>0</v>
      </c>
      <c r="C24" s="366"/>
      <c r="D24" s="366">
        <f t="shared" si="0"/>
        <v>0</v>
      </c>
      <c r="E24" s="365">
        <v>0</v>
      </c>
    </row>
    <row r="26" spans="1:7" x14ac:dyDescent="0.2">
      <c r="G26" s="401">
        <f>C6+C8+C10-C12-C14-C16</f>
        <v>15749.91</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DF0A8-1454-5649-9B48-02F55F9C56A1}">
  <dimension ref="A1:F7"/>
  <sheetViews>
    <sheetView zoomScale="130" zoomScaleNormal="130" workbookViewId="0">
      <selection activeCell="H7" sqref="H7"/>
    </sheetView>
  </sheetViews>
  <sheetFormatPr baseColWidth="10" defaultRowHeight="15" x14ac:dyDescent="0.2"/>
  <cols>
    <col min="1" max="5" width="10.83203125" style="54"/>
    <col min="6" max="6" width="35" style="54" customWidth="1"/>
    <col min="7" max="16384" width="10.83203125" style="54"/>
  </cols>
  <sheetData>
    <row r="1" spans="1:6" x14ac:dyDescent="0.2">
      <c r="A1" s="54" t="s">
        <v>983</v>
      </c>
    </row>
    <row r="3" spans="1:6" x14ac:dyDescent="0.2">
      <c r="A3" s="54" t="s">
        <v>964</v>
      </c>
      <c r="B3" s="54" t="s">
        <v>889</v>
      </c>
    </row>
    <row r="5" spans="1:6" x14ac:dyDescent="0.2">
      <c r="B5" s="109"/>
      <c r="C5" s="109" t="s">
        <v>956</v>
      </c>
      <c r="D5" s="109" t="s">
        <v>1011</v>
      </c>
      <c r="E5" s="109" t="s">
        <v>984</v>
      </c>
      <c r="F5" s="109" t="s">
        <v>985</v>
      </c>
    </row>
    <row r="6" spans="1:6" x14ac:dyDescent="0.2">
      <c r="B6" s="109"/>
      <c r="C6" s="109"/>
      <c r="D6" s="109"/>
      <c r="E6" s="109"/>
      <c r="F6" s="109"/>
    </row>
    <row r="7" spans="1:6" ht="80" x14ac:dyDescent="0.2">
      <c r="B7" s="109" t="s">
        <v>889</v>
      </c>
      <c r="C7" s="368">
        <v>25000</v>
      </c>
      <c r="D7" s="368">
        <f>'AGAR CheckCalcs'!J233</f>
        <v>26500</v>
      </c>
      <c r="E7" s="368">
        <f>D7-C7</f>
        <v>1500</v>
      </c>
      <c r="F7" s="110" t="s">
        <v>1012</v>
      </c>
    </row>
  </sheetData>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77A4A-67F3-EA48-9A4B-27D100587D7B}">
  <dimension ref="A1:F11"/>
  <sheetViews>
    <sheetView zoomScale="140" zoomScaleNormal="140" workbookViewId="0">
      <selection activeCell="F15" sqref="F15"/>
    </sheetView>
  </sheetViews>
  <sheetFormatPr baseColWidth="10" defaultRowHeight="15" x14ac:dyDescent="0.2"/>
  <cols>
    <col min="2" max="2" width="13.1640625" customWidth="1"/>
    <col min="6" max="6" width="37.1640625" customWidth="1"/>
  </cols>
  <sheetData>
    <row r="1" spans="1:6" x14ac:dyDescent="0.2">
      <c r="A1" t="s">
        <v>954</v>
      </c>
    </row>
    <row r="3" spans="1:6" x14ac:dyDescent="0.2">
      <c r="A3" t="s">
        <v>986</v>
      </c>
      <c r="B3" t="s">
        <v>890</v>
      </c>
    </row>
    <row r="5" spans="1:6" x14ac:dyDescent="0.2">
      <c r="B5" s="55"/>
      <c r="C5" s="55" t="s">
        <v>956</v>
      </c>
      <c r="D5" s="55" t="s">
        <v>1011</v>
      </c>
      <c r="E5" s="55" t="s">
        <v>984</v>
      </c>
      <c r="F5" s="55" t="s">
        <v>985</v>
      </c>
    </row>
    <row r="6" spans="1:6" x14ac:dyDescent="0.2">
      <c r="B6" s="55"/>
      <c r="C6" s="55"/>
      <c r="D6" s="55"/>
      <c r="E6" s="55"/>
      <c r="F6" s="55"/>
    </row>
    <row r="7" spans="1:6" ht="16" x14ac:dyDescent="0.2">
      <c r="B7" s="110" t="s">
        <v>987</v>
      </c>
      <c r="C7" s="372">
        <v>350</v>
      </c>
      <c r="D7" s="372">
        <f>'Budget Status 2025-26'!F6</f>
        <v>400</v>
      </c>
      <c r="E7" s="372">
        <f>D7-C7</f>
        <v>50</v>
      </c>
      <c r="F7" s="110" t="s">
        <v>1013</v>
      </c>
    </row>
    <row r="8" spans="1:6" ht="48" x14ac:dyDescent="0.2">
      <c r="B8" s="110" t="s">
        <v>988</v>
      </c>
      <c r="C8" s="372">
        <v>11000</v>
      </c>
      <c r="D8" s="372">
        <v>0</v>
      </c>
      <c r="E8" s="372">
        <f t="shared" ref="E8:E11" si="0">D8-C8</f>
        <v>-11000</v>
      </c>
      <c r="F8" s="110" t="s">
        <v>1015</v>
      </c>
    </row>
    <row r="9" spans="1:6" ht="32" x14ac:dyDescent="0.2">
      <c r="B9" s="110" t="s">
        <v>989</v>
      </c>
      <c r="C9" s="372">
        <v>842.51</v>
      </c>
      <c r="D9" s="372">
        <f>'Budget Status 2025-26'!F8</f>
        <v>536</v>
      </c>
      <c r="E9" s="372">
        <f t="shared" si="0"/>
        <v>-306.51</v>
      </c>
      <c r="F9" s="110" t="s">
        <v>1014</v>
      </c>
    </row>
    <row r="10" spans="1:6" ht="48" x14ac:dyDescent="0.2">
      <c r="B10" s="110" t="s">
        <v>990</v>
      </c>
      <c r="C10" s="372">
        <v>5326.01</v>
      </c>
      <c r="D10" s="372">
        <f>'Budget Status 2025-26'!F9</f>
        <v>2718.67</v>
      </c>
      <c r="E10" s="372">
        <f t="shared" si="0"/>
        <v>-2607.34</v>
      </c>
      <c r="F10" s="110" t="s">
        <v>1016</v>
      </c>
    </row>
    <row r="11" spans="1:6" x14ac:dyDescent="0.2">
      <c r="B11" s="110"/>
      <c r="C11" s="373">
        <v>17518.52</v>
      </c>
      <c r="D11" s="373">
        <f>SUM(D7:D10)</f>
        <v>3654.67</v>
      </c>
      <c r="E11" s="373">
        <f t="shared" si="0"/>
        <v>-13863.85</v>
      </c>
      <c r="F11" s="110"/>
    </row>
  </sheetData>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9B828-EA0D-7743-A354-61304F1546B4}">
  <dimension ref="A1:F10"/>
  <sheetViews>
    <sheetView zoomScale="140" zoomScaleNormal="140" workbookViewId="0">
      <selection activeCell="F14" sqref="F14"/>
    </sheetView>
  </sheetViews>
  <sheetFormatPr baseColWidth="10" defaultRowHeight="15" x14ac:dyDescent="0.2"/>
  <cols>
    <col min="2" max="2" width="28.1640625" customWidth="1"/>
    <col min="6" max="6" width="27" customWidth="1"/>
  </cols>
  <sheetData>
    <row r="1" spans="1:6" x14ac:dyDescent="0.2">
      <c r="A1" t="s">
        <v>983</v>
      </c>
    </row>
    <row r="3" spans="1:6" x14ac:dyDescent="0.2">
      <c r="A3" t="s">
        <v>967</v>
      </c>
      <c r="B3" t="s">
        <v>968</v>
      </c>
    </row>
    <row r="5" spans="1:6" x14ac:dyDescent="0.2">
      <c r="B5" s="55"/>
      <c r="C5" s="55" t="s">
        <v>956</v>
      </c>
      <c r="D5" s="55" t="s">
        <v>1011</v>
      </c>
      <c r="E5" s="55" t="s">
        <v>984</v>
      </c>
      <c r="F5" s="55" t="s">
        <v>985</v>
      </c>
    </row>
    <row r="6" spans="1:6" x14ac:dyDescent="0.2">
      <c r="B6" s="55"/>
      <c r="C6" s="55"/>
      <c r="D6" s="55"/>
      <c r="E6" s="55"/>
      <c r="F6" s="55"/>
    </row>
    <row r="7" spans="1:6" ht="16" x14ac:dyDescent="0.2">
      <c r="B7" s="109" t="s">
        <v>991</v>
      </c>
      <c r="C7" s="370">
        <v>4368</v>
      </c>
      <c r="D7" s="370">
        <f>'Budget Status 2025-26'!F13+'Budget Status 2025-26'!F14</f>
        <v>4593.3100000000004</v>
      </c>
      <c r="E7" s="370">
        <f>D7-C7</f>
        <v>225.3100000000004</v>
      </c>
      <c r="F7" s="110" t="s">
        <v>1017</v>
      </c>
    </row>
    <row r="8" spans="1:6" ht="32" x14ac:dyDescent="0.2">
      <c r="B8" s="109" t="s">
        <v>1031</v>
      </c>
      <c r="C8" s="370">
        <v>0</v>
      </c>
      <c r="D8" s="370">
        <f>'Budget Status 2025-26'!F16</f>
        <v>237.44999999999996</v>
      </c>
      <c r="E8" s="370"/>
      <c r="F8" s="110" t="s">
        <v>1033</v>
      </c>
    </row>
    <row r="9" spans="1:6" x14ac:dyDescent="0.2">
      <c r="B9" s="109" t="s">
        <v>992</v>
      </c>
      <c r="C9" s="370">
        <v>1872</v>
      </c>
      <c r="D9" s="370">
        <f>'Budget Status 2025-26'!F15</f>
        <v>1890.7199999999996</v>
      </c>
      <c r="E9" s="370">
        <f>D9-C9</f>
        <v>18.719999999999573</v>
      </c>
      <c r="F9" s="109"/>
    </row>
    <row r="10" spans="1:6" x14ac:dyDescent="0.2">
      <c r="B10" s="109"/>
      <c r="C10" s="371">
        <v>6240</v>
      </c>
      <c r="D10" s="371">
        <f>SUM(D7:D9)</f>
        <v>6721.48</v>
      </c>
      <c r="E10" s="371">
        <f>SUM(E7:E9)</f>
        <v>244.02999999999997</v>
      </c>
      <c r="F10" s="109" t="s">
        <v>993</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3E8F3-2F1B-994A-90A1-20CA9B497E9B}">
  <dimension ref="A1:F8"/>
  <sheetViews>
    <sheetView zoomScale="140" zoomScaleNormal="140" workbookViewId="0">
      <selection activeCell="E21" sqref="E21"/>
    </sheetView>
  </sheetViews>
  <sheetFormatPr baseColWidth="10" defaultRowHeight="15" x14ac:dyDescent="0.2"/>
  <cols>
    <col min="6" max="6" width="18.83203125" customWidth="1"/>
  </cols>
  <sheetData>
    <row r="1" spans="1:6" x14ac:dyDescent="0.2">
      <c r="A1" t="s">
        <v>954</v>
      </c>
    </row>
    <row r="3" spans="1:6" x14ac:dyDescent="0.2">
      <c r="A3" t="s">
        <v>981</v>
      </c>
      <c r="B3" t="s">
        <v>982</v>
      </c>
    </row>
    <row r="5" spans="1:6" x14ac:dyDescent="0.2">
      <c r="B5" s="55"/>
      <c r="C5" s="55" t="s">
        <v>956</v>
      </c>
      <c r="D5" s="55" t="s">
        <v>1011</v>
      </c>
      <c r="E5" s="55" t="s">
        <v>984</v>
      </c>
      <c r="F5" s="55" t="s">
        <v>985</v>
      </c>
    </row>
    <row r="6" spans="1:6" x14ac:dyDescent="0.2">
      <c r="B6" s="55" t="s">
        <v>970</v>
      </c>
      <c r="C6" s="55">
        <v>0</v>
      </c>
      <c r="D6" s="55">
        <v>0</v>
      </c>
      <c r="E6" s="55"/>
      <c r="F6" s="55"/>
    </row>
    <row r="7" spans="1:6" x14ac:dyDescent="0.2">
      <c r="B7" s="55"/>
      <c r="C7" s="55">
        <v>0</v>
      </c>
      <c r="D7" s="55">
        <v>0</v>
      </c>
      <c r="E7" s="55"/>
      <c r="F7" s="55"/>
    </row>
    <row r="8" spans="1:6" x14ac:dyDescent="0.2">
      <c r="B8" s="55"/>
      <c r="C8" s="367">
        <v>0</v>
      </c>
      <c r="D8" s="367">
        <v>0</v>
      </c>
      <c r="E8" s="55"/>
      <c r="F8" s="55"/>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B666C-2678-FF41-B6DE-704A0C0FA283}">
  <dimension ref="A1:F25"/>
  <sheetViews>
    <sheetView topLeftCell="A8" zoomScale="140" zoomScaleNormal="140" workbookViewId="0">
      <selection activeCell="D21" sqref="D21"/>
    </sheetView>
  </sheetViews>
  <sheetFormatPr baseColWidth="10" defaultRowHeight="15" x14ac:dyDescent="0.2"/>
  <cols>
    <col min="2" max="2" width="29" customWidth="1"/>
    <col min="3" max="4" width="10.33203125" bestFit="1" customWidth="1"/>
    <col min="5" max="5" width="10.6640625" bestFit="1" customWidth="1"/>
    <col min="6" max="6" width="43" customWidth="1"/>
  </cols>
  <sheetData>
    <row r="1" spans="1:6" x14ac:dyDescent="0.2">
      <c r="A1" t="s">
        <v>954</v>
      </c>
    </row>
    <row r="3" spans="1:6" x14ac:dyDescent="0.2">
      <c r="A3" t="s">
        <v>973</v>
      </c>
      <c r="B3" t="s">
        <v>974</v>
      </c>
    </row>
    <row r="5" spans="1:6" ht="16" x14ac:dyDescent="0.2">
      <c r="B5" s="110"/>
      <c r="C5" s="110" t="s">
        <v>956</v>
      </c>
      <c r="D5" s="55" t="s">
        <v>1011</v>
      </c>
      <c r="E5" s="110" t="s">
        <v>984</v>
      </c>
      <c r="F5" s="110" t="s">
        <v>985</v>
      </c>
    </row>
    <row r="6" spans="1:6" x14ac:dyDescent="0.2">
      <c r="B6" s="110"/>
      <c r="C6" s="110"/>
      <c r="D6" s="55"/>
      <c r="E6" s="110"/>
      <c r="F6" s="110"/>
    </row>
    <row r="7" spans="1:6" ht="48" x14ac:dyDescent="0.2">
      <c r="B7" s="110" t="s">
        <v>994</v>
      </c>
      <c r="C7" s="372">
        <v>2073.81</v>
      </c>
      <c r="D7" s="370">
        <f>'Budget Status 2025-26'!F18+'Budget Status 2025-26'!F19+'Budget Status 2025-26'!F21+'Budget Status 2025-26'!F25+'Budget Status 2025-26'!F45+'Budget Status 2025-26'!F46</f>
        <v>2345.19</v>
      </c>
      <c r="E7" s="372">
        <f>D7-C7-0.2</f>
        <v>271.18000000000012</v>
      </c>
      <c r="F7" s="110" t="s">
        <v>1018</v>
      </c>
    </row>
    <row r="8" spans="1:6" ht="32" x14ac:dyDescent="0.2">
      <c r="B8" s="110" t="s">
        <v>995</v>
      </c>
      <c r="C8" s="372">
        <v>889.6</v>
      </c>
      <c r="D8" s="370">
        <f>'Budget Status 2025-26'!F27</f>
        <v>453.71000000000004</v>
      </c>
      <c r="E8" s="372">
        <f t="shared" ref="E8:E21" si="0">D8-C8</f>
        <v>-435.89</v>
      </c>
      <c r="F8" s="110" t="s">
        <v>1035</v>
      </c>
    </row>
    <row r="9" spans="1:6" ht="16" x14ac:dyDescent="0.2">
      <c r="B9" s="110" t="s">
        <v>996</v>
      </c>
      <c r="C9" s="372">
        <v>0</v>
      </c>
      <c r="D9" s="370"/>
      <c r="E9" s="372">
        <f t="shared" si="0"/>
        <v>0</v>
      </c>
      <c r="F9" s="110" t="s">
        <v>997</v>
      </c>
    </row>
    <row r="10" spans="1:6" ht="32" x14ac:dyDescent="0.2">
      <c r="B10" s="110" t="s">
        <v>998</v>
      </c>
      <c r="C10" s="372">
        <v>284.06999999999994</v>
      </c>
      <c r="D10" s="370">
        <f>'Budget Status 2025-26'!F17</f>
        <v>517.57999999999993</v>
      </c>
      <c r="E10" s="372">
        <f t="shared" si="0"/>
        <v>233.51</v>
      </c>
      <c r="F10" s="110" t="s">
        <v>1019</v>
      </c>
    </row>
    <row r="11" spans="1:6" ht="32" x14ac:dyDescent="0.2">
      <c r="B11" s="110" t="s">
        <v>161</v>
      </c>
      <c r="C11" s="372">
        <v>1305.43</v>
      </c>
      <c r="D11" s="370">
        <f>'Budget Status 2025-26'!F29+'Budget Status 2025-26'!F30+'Budget Status 2025-26'!F31</f>
        <v>943.56</v>
      </c>
      <c r="E11" s="372">
        <f t="shared" si="0"/>
        <v>-361.87000000000012</v>
      </c>
      <c r="F11" s="110" t="s">
        <v>1020</v>
      </c>
    </row>
    <row r="12" spans="1:6" ht="16" x14ac:dyDescent="0.2">
      <c r="B12" s="110" t="s">
        <v>149</v>
      </c>
      <c r="C12" s="372">
        <v>0</v>
      </c>
      <c r="D12" s="370"/>
      <c r="E12" s="372">
        <f t="shared" si="0"/>
        <v>0</v>
      </c>
      <c r="F12" s="110"/>
    </row>
    <row r="13" spans="1:6" ht="32" x14ac:dyDescent="0.2">
      <c r="B13" s="110" t="s">
        <v>165</v>
      </c>
      <c r="C13" s="372">
        <v>3917.1899999999996</v>
      </c>
      <c r="D13" s="370">
        <f>'Budget Status 2025-26'!F41</f>
        <v>2223.7999999999997</v>
      </c>
      <c r="E13" s="372">
        <f t="shared" si="0"/>
        <v>-1693.3899999999999</v>
      </c>
      <c r="F13" s="110" t="s">
        <v>1036</v>
      </c>
    </row>
    <row r="14" spans="1:6" ht="16" x14ac:dyDescent="0.2">
      <c r="B14" s="110" t="s">
        <v>28</v>
      </c>
      <c r="C14" s="372">
        <v>0</v>
      </c>
      <c r="D14" s="370">
        <f>'Budget Status 2025-26'!F22</f>
        <v>85</v>
      </c>
      <c r="E14" s="372">
        <f t="shared" si="0"/>
        <v>85</v>
      </c>
      <c r="F14" s="110" t="s">
        <v>1021</v>
      </c>
    </row>
    <row r="15" spans="1:6" ht="16" x14ac:dyDescent="0.2">
      <c r="B15" s="110" t="s">
        <v>999</v>
      </c>
      <c r="C15" s="372">
        <v>453.75</v>
      </c>
      <c r="D15" s="370">
        <f>'Budget Status 2025-26'!F20</f>
        <v>665</v>
      </c>
      <c r="E15" s="372">
        <f>D15-C15</f>
        <v>211.25</v>
      </c>
      <c r="F15" s="110" t="s">
        <v>1022</v>
      </c>
    </row>
    <row r="16" spans="1:6" ht="16" x14ac:dyDescent="0.2">
      <c r="B16" s="110" t="s">
        <v>1000</v>
      </c>
      <c r="C16" s="372">
        <v>469.5</v>
      </c>
      <c r="D16" s="370">
        <f>'Budget Status 2025-26'!F44</f>
        <v>526.5</v>
      </c>
      <c r="E16" s="372">
        <f>D16-C16-0.2</f>
        <v>56.8</v>
      </c>
      <c r="F16" s="110" t="s">
        <v>1023</v>
      </c>
    </row>
    <row r="17" spans="2:6" ht="16" x14ac:dyDescent="0.2">
      <c r="B17" s="110" t="s">
        <v>1001</v>
      </c>
      <c r="C17" s="372">
        <v>0</v>
      </c>
      <c r="D17" s="370">
        <f>'Budget Status 2025-26'!F26</f>
        <v>0</v>
      </c>
      <c r="E17" s="372">
        <f t="shared" si="0"/>
        <v>0</v>
      </c>
      <c r="F17" s="110" t="s">
        <v>1024</v>
      </c>
    </row>
    <row r="18" spans="2:6" ht="48" x14ac:dyDescent="0.2">
      <c r="B18" s="110" t="s">
        <v>1002</v>
      </c>
      <c r="C18" s="372">
        <v>8239.4399999999987</v>
      </c>
      <c r="D18" s="370">
        <f>'Budget Status 2025-26'!F23+'Budget Status 2025-26'!F24+'Budget Status 2025-26'!F32+'Budget Status 2025-26'!F35+'Budget Status 2025-26'!F36+'Budget Status 2025-26'!F37+'Budget Status 2025-26'!F38+'Budget Status 2025-26'!F39</f>
        <v>10019.820000000002</v>
      </c>
      <c r="E18" s="372">
        <f>D18-C18</f>
        <v>1780.3800000000028</v>
      </c>
      <c r="F18" s="110" t="s">
        <v>1037</v>
      </c>
    </row>
    <row r="19" spans="2:6" ht="32" x14ac:dyDescent="0.2">
      <c r="B19" s="110" t="s">
        <v>1003</v>
      </c>
      <c r="C19" s="372">
        <v>16265</v>
      </c>
      <c r="D19" s="370">
        <f>'Budget Status 2025-26'!F33+'Budget Status 2025-26'!F34+'Budget Status 2025-26'!F53</f>
        <v>1920</v>
      </c>
      <c r="E19" s="372">
        <f t="shared" si="0"/>
        <v>-14345</v>
      </c>
      <c r="F19" s="110" t="s">
        <v>1025</v>
      </c>
    </row>
    <row r="20" spans="2:6" ht="16" x14ac:dyDescent="0.2">
      <c r="B20" s="110" t="s">
        <v>1004</v>
      </c>
      <c r="C20" s="372">
        <v>620.82999999999993</v>
      </c>
      <c r="D20" s="370">
        <f>'Budget Status 2025-26'!F47</f>
        <v>385</v>
      </c>
      <c r="E20" s="372">
        <f t="shared" si="0"/>
        <v>-235.82999999999993</v>
      </c>
      <c r="F20" s="110" t="s">
        <v>1026</v>
      </c>
    </row>
    <row r="21" spans="2:6" ht="32" x14ac:dyDescent="0.2">
      <c r="B21" s="110" t="s">
        <v>1005</v>
      </c>
      <c r="C21" s="372">
        <v>5882.9100000000008</v>
      </c>
      <c r="D21" s="370">
        <f>-'Budget Status 2025-26'!F66</f>
        <v>2785.1899999999996</v>
      </c>
      <c r="E21" s="372">
        <f t="shared" si="0"/>
        <v>-3097.7200000000012</v>
      </c>
      <c r="F21" s="110" t="s">
        <v>1027</v>
      </c>
    </row>
    <row r="22" spans="2:6" ht="16" x14ac:dyDescent="0.2">
      <c r="B22" s="110" t="s">
        <v>1006</v>
      </c>
      <c r="C22" s="372"/>
      <c r="D22" s="370"/>
      <c r="E22" s="372"/>
      <c r="F22" s="110"/>
    </row>
    <row r="23" spans="2:6" x14ac:dyDescent="0.2">
      <c r="B23" s="110"/>
      <c r="C23" s="371">
        <v>40403</v>
      </c>
      <c r="D23" s="371">
        <f>SUM(D6:D22)</f>
        <v>22870.350000000002</v>
      </c>
      <c r="E23" s="369">
        <f>SUM(E6:E22)</f>
        <v>-17531.579999999998</v>
      </c>
      <c r="F23" s="110"/>
    </row>
    <row r="25" spans="2:6" x14ac:dyDescent="0.2">
      <c r="E25" s="375"/>
      <c r="F25" s="375"/>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Budget Status 2025-26</vt:lpstr>
      <vt:lpstr>Activity</vt:lpstr>
      <vt:lpstr>AGAR CheckCalcs</vt:lpstr>
      <vt:lpstr>Form</vt:lpstr>
      <vt:lpstr>Box 2</vt:lpstr>
      <vt:lpstr>Box 3</vt:lpstr>
      <vt:lpstr>Box 4</vt:lpstr>
      <vt:lpstr>Box 5 &amp; 10</vt:lpstr>
      <vt:lpstr>Box 6</vt:lpstr>
      <vt:lpstr>Box 7 &amp; 8</vt:lpstr>
      <vt:lpstr>Box 9</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2026-04-24T08:09:04Z</cp:lastPrinted>
  <dcterms:created xsi:type="dcterms:W3CDTF">2019-05-15T17:12:23Z</dcterms:created>
  <dcterms:modified xsi:type="dcterms:W3CDTF">2026-05-11T16:57:08Z</dcterms:modified>
  <cp:category/>
  <cp:contentStatus/>
</cp:coreProperties>
</file>