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109/"/>
    </mc:Choice>
  </mc:AlternateContent>
  <xr:revisionPtr revIDLastSave="0" documentId="13_ncr:1_{E7EA1945-23A5-9446-8FBE-4E985D02FE26}" xr6:coauthVersionLast="47" xr6:coauthVersionMax="47" xr10:uidLastSave="{00000000-0000-0000-0000-000000000000}"/>
  <bookViews>
    <workbookView xWindow="0" yWindow="540" windowWidth="28520" windowHeight="15780" activeTab="1" xr2:uid="{EF328E6F-9CCF-444D-A76F-F626E7C71552}"/>
  </bookViews>
  <sheets>
    <sheet name="Budget_Spend" sheetId="11" r:id="rId1"/>
    <sheet name="Summary" sheetId="12" r:id="rId2"/>
  </sheets>
  <definedNames>
    <definedName name="_xlnm._FilterDatabase" localSheetId="0" hidden="1">Budget_Spend!$A$3:$S$65</definedName>
    <definedName name="_xlnm.Print_Area" localSheetId="0">Budget_Spend!$A$3:$L$68</definedName>
    <definedName name="_xlnm.Print_Titles" localSheetId="0">Budget_Spend!$3:$3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" i="11" l="1"/>
  <c r="C23" i="12"/>
  <c r="C22" i="12"/>
  <c r="R22" i="11"/>
  <c r="R17" i="11"/>
  <c r="R15" i="11"/>
  <c r="R13" i="11"/>
  <c r="T66" i="11"/>
  <c r="T16" i="11"/>
  <c r="V16" i="11" s="1"/>
  <c r="T65" i="11"/>
  <c r="R18" i="11" l="1"/>
  <c r="R21" i="11"/>
  <c r="Q14" i="11"/>
  <c r="Q15" i="11"/>
  <c r="Q17" i="11"/>
  <c r="Q18" i="11"/>
  <c r="Q19" i="11"/>
  <c r="Q20" i="11"/>
  <c r="Q21" i="11"/>
  <c r="Q22" i="11"/>
  <c r="Q13" i="11"/>
  <c r="O67" i="11"/>
  <c r="M67" i="11" l="1"/>
  <c r="T47" i="11" l="1"/>
  <c r="T39" i="11"/>
  <c r="T34" i="11"/>
  <c r="T33" i="11" l="1"/>
  <c r="V33" i="11" s="1"/>
  <c r="T32" i="11"/>
  <c r="T31" i="11" l="1"/>
  <c r="T20" i="11" l="1"/>
  <c r="T15" i="11"/>
  <c r="T13" i="11"/>
  <c r="T14" i="11" s="1"/>
  <c r="Q33" i="11" l="1"/>
  <c r="M59" i="11" l="1"/>
  <c r="N59" i="11"/>
  <c r="M53" i="11"/>
  <c r="M63" i="11" s="1"/>
  <c r="N53" i="11"/>
  <c r="N63" i="11" s="1"/>
  <c r="M10" i="11"/>
  <c r="M62" i="11" s="1"/>
  <c r="N10" i="11"/>
  <c r="N62" i="11" s="1"/>
  <c r="N64" i="11" l="1"/>
  <c r="M64" i="11"/>
  <c r="C7" i="12"/>
  <c r="T59" i="11"/>
  <c r="V49" i="11"/>
  <c r="V51" i="11"/>
  <c r="T50" i="11"/>
  <c r="V50" i="11" s="1"/>
  <c r="T48" i="11"/>
  <c r="V48" i="11" s="1"/>
  <c r="V46" i="11"/>
  <c r="V45" i="11"/>
  <c r="V43" i="11"/>
  <c r="V44" i="11"/>
  <c r="V42" i="11"/>
  <c r="T41" i="11"/>
  <c r="V41" i="11" s="1"/>
  <c r="V40" i="11"/>
  <c r="T37" i="11"/>
  <c r="V37" i="11" s="1"/>
  <c r="T36" i="11"/>
  <c r="V36" i="11" s="1"/>
  <c r="V35" i="11"/>
  <c r="V38" i="11"/>
  <c r="V39" i="11"/>
  <c r="V31" i="11"/>
  <c r="V32" i="11"/>
  <c r="V30" i="11"/>
  <c r="V28" i="11"/>
  <c r="V25" i="11"/>
  <c r="V26" i="11"/>
  <c r="T27" i="11"/>
  <c r="V27" i="11" s="1"/>
  <c r="V23" i="11"/>
  <c r="V21" i="11"/>
  <c r="V22" i="11"/>
  <c r="T10" i="11"/>
  <c r="T62" i="11" s="1"/>
  <c r="V20" i="11"/>
  <c r="T18" i="11"/>
  <c r="V18" i="11" s="1"/>
  <c r="V19" i="11"/>
  <c r="V6" i="11"/>
  <c r="V5" i="11"/>
  <c r="V47" i="11" l="1"/>
  <c r="V34" i="11" l="1"/>
  <c r="V17" i="11"/>
  <c r="V14" i="11"/>
  <c r="V15" i="11"/>
  <c r="V13" i="11"/>
  <c r="C12" i="12" l="1"/>
  <c r="Q58" i="11" l="1"/>
  <c r="Q57" i="11"/>
  <c r="Q56" i="11"/>
  <c r="Q45" i="11"/>
  <c r="Q46" i="11"/>
  <c r="Q47" i="11"/>
  <c r="Q48" i="11"/>
  <c r="Q49" i="11"/>
  <c r="Q50" i="11"/>
  <c r="Q51" i="11"/>
  <c r="Q44" i="11"/>
  <c r="Q43" i="11"/>
  <c r="Q42" i="11"/>
  <c r="Q41" i="11"/>
  <c r="Q40" i="11"/>
  <c r="Q39" i="11"/>
  <c r="Q38" i="11"/>
  <c r="Q35" i="11"/>
  <c r="Q36" i="11"/>
  <c r="Q37" i="11"/>
  <c r="Q34" i="11"/>
  <c r="Q23" i="11"/>
  <c r="Q25" i="11"/>
  <c r="Q26" i="11"/>
  <c r="Q27" i="11"/>
  <c r="Q28" i="11"/>
  <c r="Q30" i="11"/>
  <c r="Q31" i="11"/>
  <c r="Q32" i="11"/>
  <c r="Q24" i="11" l="1"/>
  <c r="T24" i="11"/>
  <c r="V24" i="11" s="1"/>
  <c r="Q29" i="11"/>
  <c r="T29" i="11"/>
  <c r="V29" i="11" s="1"/>
  <c r="P61" i="11"/>
  <c r="Q61" i="11" s="1"/>
  <c r="R61" i="11" s="1"/>
  <c r="R59" i="11"/>
  <c r="P59" i="11"/>
  <c r="P55" i="11"/>
  <c r="P54" i="11"/>
  <c r="P53" i="11"/>
  <c r="R10" i="11"/>
  <c r="R62" i="11" s="1"/>
  <c r="P10" i="11"/>
  <c r="P62" i="11" s="1"/>
  <c r="T53" i="11" l="1"/>
  <c r="T63" i="11" s="1"/>
  <c r="T64" i="11" s="1"/>
  <c r="Q59" i="11"/>
  <c r="P63" i="11"/>
  <c r="P64" i="11" s="1"/>
  <c r="Q10" i="11"/>
  <c r="Q62" i="11" s="1"/>
  <c r="R53" i="11"/>
  <c r="R63" i="11" s="1"/>
  <c r="R64" i="11" s="1"/>
  <c r="O59" i="11" l="1"/>
  <c r="O10" i="11" l="1"/>
  <c r="O62" i="11" s="1"/>
  <c r="Q53" i="11" l="1"/>
  <c r="Q63" i="11" s="1"/>
  <c r="Q64" i="11" s="1"/>
  <c r="O53" i="11"/>
  <c r="O63" i="11" s="1"/>
  <c r="O64" i="11" s="1"/>
  <c r="L59" i="11" l="1"/>
  <c r="K59" i="11"/>
  <c r="J59" i="11"/>
  <c r="K53" i="11"/>
  <c r="L53" i="11"/>
  <c r="K10" i="11"/>
  <c r="K62" i="11" s="1"/>
  <c r="L10" i="11"/>
  <c r="L62" i="11" s="1"/>
  <c r="L63" i="11" l="1"/>
  <c r="L64" i="11" s="1"/>
  <c r="G53" i="11" l="1"/>
  <c r="H53" i="11"/>
  <c r="I53" i="11"/>
  <c r="J53" i="11"/>
  <c r="F53" i="11" l="1"/>
  <c r="J63" i="11" l="1"/>
  <c r="F10" i="11"/>
  <c r="G10" i="11"/>
  <c r="H10" i="11"/>
  <c r="I10" i="11"/>
  <c r="J10" i="11"/>
  <c r="J62" i="11" s="1"/>
  <c r="J64" i="11" l="1"/>
  <c r="K54" i="11" l="1"/>
  <c r="K55" i="11"/>
  <c r="E62" i="11"/>
  <c r="F62" i="11"/>
  <c r="E59" i="11"/>
  <c r="F59" i="11"/>
  <c r="E53" i="11"/>
  <c r="F63" i="11" l="1"/>
  <c r="F64" i="11" s="1"/>
  <c r="E63" i="11"/>
  <c r="E64" i="11" s="1"/>
  <c r="G59" i="11" l="1"/>
  <c r="H59" i="11"/>
  <c r="G62" i="11"/>
  <c r="H62" i="11"/>
  <c r="H63" i="11" l="1"/>
  <c r="H64" i="11" s="1"/>
  <c r="G63" i="11"/>
  <c r="G64" i="11" s="1"/>
  <c r="K61" i="11" l="1"/>
  <c r="L61" i="11" s="1"/>
  <c r="L54" i="11"/>
  <c r="L55" i="11"/>
  <c r="K63" i="11" l="1"/>
  <c r="K64" i="11" l="1"/>
  <c r="I59" i="11" l="1"/>
  <c r="I62" i="11" l="1"/>
  <c r="I63" i="11" l="1"/>
  <c r="I64" i="11" l="1"/>
</calcChain>
</file>

<file path=xl/sharedStrings.xml><?xml version="1.0" encoding="utf-8"?>
<sst xmlns="http://schemas.openxmlformats.org/spreadsheetml/2006/main" count="257" uniqueCount="204">
  <si>
    <t>CATEGORY</t>
  </si>
  <si>
    <t>CODE</t>
  </si>
  <si>
    <t>ITEM IN BUDGET</t>
  </si>
  <si>
    <t>Income:</t>
  </si>
  <si>
    <t>INC01</t>
  </si>
  <si>
    <t>Precept </t>
  </si>
  <si>
    <t>INC02</t>
  </si>
  <si>
    <t>Allotments rent</t>
  </si>
  <si>
    <t>INC03</t>
  </si>
  <si>
    <t>Other grants: NHB &amp; CIL</t>
  </si>
  <si>
    <t>INC04</t>
  </si>
  <si>
    <t>Other income</t>
  </si>
  <si>
    <t>Sub-Total</t>
  </si>
  <si>
    <t>Expenditure: revenue</t>
  </si>
  <si>
    <t>Administration</t>
  </si>
  <si>
    <t>ADMIN01</t>
  </si>
  <si>
    <t>Clerk's salary</t>
  </si>
  <si>
    <t>ADMIN02</t>
  </si>
  <si>
    <t>Clerk's overtime</t>
  </si>
  <si>
    <t>ADMIN03</t>
  </si>
  <si>
    <t>RFO's salary</t>
  </si>
  <si>
    <t>ADMIN04</t>
  </si>
  <si>
    <t>Office expenses</t>
  </si>
  <si>
    <t>ADMIN05</t>
  </si>
  <si>
    <t>Insurance</t>
  </si>
  <si>
    <t>ADMIN06</t>
  </si>
  <si>
    <t>Audit fees </t>
  </si>
  <si>
    <t>ADMIN07</t>
  </si>
  <si>
    <t>Bank charges</t>
  </si>
  <si>
    <t>ADMIN08</t>
  </si>
  <si>
    <t>Training</t>
  </si>
  <si>
    <t>Subscriptions</t>
  </si>
  <si>
    <t>SUBS01</t>
  </si>
  <si>
    <t>SUBS02</t>
  </si>
  <si>
    <t>LCB</t>
  </si>
  <si>
    <t>SUBS03</t>
  </si>
  <si>
    <t>SLCC</t>
  </si>
  <si>
    <t>SUBS04</t>
  </si>
  <si>
    <t>Legal costs</t>
  </si>
  <si>
    <t>LEGAL01</t>
  </si>
  <si>
    <t>Communication</t>
  </si>
  <si>
    <t>COMMS01</t>
  </si>
  <si>
    <t>COMMS02</t>
  </si>
  <si>
    <t>Election expenses</t>
  </si>
  <si>
    <t>Memorial Hall</t>
  </si>
  <si>
    <t>MH01</t>
  </si>
  <si>
    <t>Public Works Loan Board</t>
  </si>
  <si>
    <t>MH02</t>
  </si>
  <si>
    <t>Hire of hall</t>
  </si>
  <si>
    <t>Allotments</t>
  </si>
  <si>
    <t>ALL01</t>
  </si>
  <si>
    <t>Allotment rent</t>
  </si>
  <si>
    <t>ALL02</t>
  </si>
  <si>
    <t>ALL03</t>
  </si>
  <si>
    <t>Tree maintenance</t>
  </si>
  <si>
    <t>ALL04</t>
  </si>
  <si>
    <t>General maintenance</t>
  </si>
  <si>
    <t xml:space="preserve">Grounds Maintenance </t>
  </si>
  <si>
    <t>GM01</t>
  </si>
  <si>
    <t>GM02</t>
  </si>
  <si>
    <t>GM03</t>
  </si>
  <si>
    <t>Play equipment inspection</t>
  </si>
  <si>
    <t>GM04</t>
  </si>
  <si>
    <t>Play equipment maintenance</t>
  </si>
  <si>
    <t>GM05</t>
  </si>
  <si>
    <t>GM06</t>
  </si>
  <si>
    <t>GM07</t>
  </si>
  <si>
    <t>Litter bins / grit bins</t>
  </si>
  <si>
    <t>GM08</t>
  </si>
  <si>
    <t>GM09</t>
  </si>
  <si>
    <t>Expenditure: capital</t>
  </si>
  <si>
    <t>(excluding any grant funding)</t>
  </si>
  <si>
    <t>CAP01</t>
  </si>
  <si>
    <t>Car parking survey &amp; planning</t>
  </si>
  <si>
    <t>CAP02</t>
  </si>
  <si>
    <t>CAP03</t>
  </si>
  <si>
    <t>Contingency @ 10% of precept</t>
  </si>
  <si>
    <t>Total Income</t>
  </si>
  <si>
    <t>Total Expenditure (revenue &amp; capital) and Contingency</t>
  </si>
  <si>
    <t>Surplus/Deficit</t>
  </si>
  <si>
    <t>Council Tax Band D</t>
  </si>
  <si>
    <t>WSALC</t>
  </si>
  <si>
    <t>COMMS03</t>
  </si>
  <si>
    <t>ICO Annual Data Fee</t>
  </si>
  <si>
    <t>Website Domain &amp; Email Accounts</t>
  </si>
  <si>
    <t>Tree Inspection</t>
  </si>
  <si>
    <t>Grass cutting - Stedham &amp; Iping</t>
  </si>
  <si>
    <t xml:space="preserve">(including Churches, Common View </t>
  </si>
  <si>
    <t>&amp; Recreation Ground)</t>
  </si>
  <si>
    <t>COMMS04</t>
  </si>
  <si>
    <t>GM10</t>
  </si>
  <si>
    <t>GM11</t>
  </si>
  <si>
    <t>Planning Applications</t>
  </si>
  <si>
    <t>COMMS05</t>
  </si>
  <si>
    <t>Video Conference Application</t>
  </si>
  <si>
    <t>COMMS06</t>
  </si>
  <si>
    <t>Parish Council Events</t>
  </si>
  <si>
    <t>ADMIN09</t>
  </si>
  <si>
    <t>Parish Council Christmas Events</t>
  </si>
  <si>
    <t>Hedge Maintenance</t>
  </si>
  <si>
    <t>General Parish Maintenance (Inc Spring Clean Day)</t>
  </si>
  <si>
    <t>Parish Improvement Projects</t>
  </si>
  <si>
    <t>Community Health &amp; Wellbeing - Playgrounds</t>
  </si>
  <si>
    <t>Newsletter, Other  Communications to all parishioners, eg Covid-letter</t>
  </si>
  <si>
    <t>2021/22 BUDGET FULL YEAR
(Exc VAT)</t>
  </si>
  <si>
    <t>2020/21 BUDGET FULL YEAR
(Exc VAT)</t>
  </si>
  <si>
    <t>2020/21
ACTUAL SPEND 
(Exc VAT)</t>
  </si>
  <si>
    <t>2019/20 BUDGET FULL YEAR
(Exc VAT)</t>
  </si>
  <si>
    <t>2019/20
ACTUAL SPEND 
(Exc VAT)</t>
  </si>
  <si>
    <t>Brought Forward</t>
  </si>
  <si>
    <t>Carry Forward</t>
  </si>
  <si>
    <t>Other income - VAT126. Insurance Claim</t>
  </si>
  <si>
    <t>Parish Organisation Fund</t>
  </si>
  <si>
    <t>Income - Precept</t>
  </si>
  <si>
    <t>Income - Grants</t>
  </si>
  <si>
    <t>Income - Other</t>
  </si>
  <si>
    <t>Admin - Pay_Exp</t>
  </si>
  <si>
    <t>Admin - General</t>
  </si>
  <si>
    <t>Comms - General</t>
  </si>
  <si>
    <t>Comms - NLetter_Events</t>
  </si>
  <si>
    <t>Maintenance - General</t>
  </si>
  <si>
    <t>Maintenance - Playgrounds</t>
  </si>
  <si>
    <t>Parish Fund</t>
  </si>
  <si>
    <t>Parish Improvements</t>
  </si>
  <si>
    <t>Income_Cost_ Code</t>
  </si>
  <si>
    <t>xx</t>
  </si>
  <si>
    <t>Noticeboard doors/maintenance</t>
  </si>
  <si>
    <t>2021/22 ACTUAL RECEIPTS &amp; SPEND
(Exc VAT)</t>
  </si>
  <si>
    <t>2022/23 BUDGET FULL YEAR
(Exc VAT)</t>
  </si>
  <si>
    <t>No increase in Allotment rents</t>
  </si>
  <si>
    <t xml:space="preserve">2022/23 ACTUAL RECEIPTS &amp; SPEND
(Exc VAT)
</t>
  </si>
  <si>
    <t>Current cash</t>
  </si>
  <si>
    <t>Estimated Income to end Financial year</t>
  </si>
  <si>
    <t>Reclaimed VAT</t>
  </si>
  <si>
    <t>Estimated spend to end Financial year</t>
  </si>
  <si>
    <t>Assume 10% increase</t>
  </si>
  <si>
    <t>10 email Accounts £50 + Annual service charge £480 + 10%</t>
  </si>
  <si>
    <t>Not an election year</t>
  </si>
  <si>
    <t>Inc Contingency</t>
  </si>
  <si>
    <t>Code to be removed</t>
  </si>
  <si>
    <t>Code GM02 to be removed &amp; cost inluded in GM06</t>
  </si>
  <si>
    <t>To include information about fund in Newsletter</t>
  </si>
  <si>
    <t>Council Tax charge for band D property</t>
  </si>
  <si>
    <t>Delete Code</t>
  </si>
  <si>
    <t> Stedham with Iping Parish Council Budgets &amp; Expenditure  1 April 2019 to 31 March 2026</t>
  </si>
  <si>
    <t>2023/24 BUDGET FULL YEAR (Ex VAT)</t>
  </si>
  <si>
    <t>2023/24 ACTUAL RECEIPTS &amp; SPEND
(Exc VAT)</t>
  </si>
  <si>
    <t>Comments on 2024/25 Budget Figures</t>
  </si>
  <si>
    <t>2025/26 BUDGET FULL YEAR (DRAFT)</t>
  </si>
  <si>
    <t xml:space="preserve">Comments on 2025/26 Budget Figures 21st November 2024
 </t>
  </si>
  <si>
    <t>Variance (between 2024/25 &amp; 2025/26
(Based on Estimated full spend for 2024/25)</t>
  </si>
  <si>
    <t>2024/25 BUDGET FULL YEAR (Ex VAT)</t>
  </si>
  <si>
    <t>COMMS07</t>
  </si>
  <si>
    <t>Tea Club</t>
  </si>
  <si>
    <t>CIL grant £11,000 for CV Roundabout</t>
  </si>
  <si>
    <t>Roundabout CV Playground - Planned for 2023/24. Cost of path to roundabout &amp; dome surface not allowed for in original quote</t>
  </si>
  <si>
    <t>Inc £70 for fencing</t>
  </si>
  <si>
    <t>Inc 2 x Christmas trees. Battery Charger</t>
  </si>
  <si>
    <t>Budget to remain as is</t>
  </si>
  <si>
    <t>2024/27 3year basis - £803.85.  + Increase to cover new equipment:
Climbing frame - inc 2024/25
Accessible Roundabout - inc 2025/26</t>
  </si>
  <si>
    <t>Inc 2 x cut Christmas trees</t>
  </si>
  <si>
    <t>Estimated on last 4year(to date) costs Av - £4140
Suggest 20% increase</t>
  </si>
  <si>
    <t>Hedge &amp; Tree Maintenance
 Assume 10%increase</t>
  </si>
  <si>
    <t>Assume 15 metings @ £40.50</t>
  </si>
  <si>
    <t>Estimated Carry Forward to 2025/26</t>
  </si>
  <si>
    <t>Cash brought forward from 2023/24</t>
  </si>
  <si>
    <t>£3000 due from CIL Stedham Tel Box improvement</t>
  </si>
  <si>
    <t>2024/25 Overview</t>
  </si>
  <si>
    <t>Tree &amp; Hedge Maintenance</t>
  </si>
  <si>
    <t>Community Account with charges from 14th January 2025. £4.25/mnth, DD-10p, BACs-7p</t>
  </si>
  <si>
    <t>Estimated 1 x Tea club receipts, Mulled wine gross revenue(inc Float)
WI Fair gross receipts</t>
  </si>
  <si>
    <t>Allotment water, Maintenance</t>
  </si>
  <si>
    <t>Spring 25 editions</t>
  </si>
  <si>
    <t>Open Garden 9/6/24, Mulled wine costs 26/01/24</t>
  </si>
  <si>
    <t>Wild flower planting - phase1</t>
  </si>
  <si>
    <t>RBL Tommy for SMH, Community Bus</t>
  </si>
  <si>
    <r>
      <t xml:space="preserve">1% increase. </t>
    </r>
    <r>
      <rPr>
        <sz val="11"/>
        <color rgb="FFFF0000"/>
        <rFont val="Arial"/>
        <family val="2"/>
      </rPr>
      <t>Employer NI applicable</t>
    </r>
  </si>
  <si>
    <r>
      <t xml:space="preserve">As for Clerk </t>
    </r>
    <r>
      <rPr>
        <sz val="11"/>
        <color rgb="FFFF0000"/>
        <rFont val="Arial"/>
        <family val="2"/>
      </rPr>
      <t>Employer NI applicable</t>
    </r>
  </si>
  <si>
    <t>ADMIN10</t>
  </si>
  <si>
    <t>Employer National Insurance</t>
  </si>
  <si>
    <t>Threshold reduced from £9100 to £5000</t>
  </si>
  <si>
    <r>
      <t xml:space="preserve">10% of Clerk </t>
    </r>
    <r>
      <rPr>
        <sz val="11"/>
        <color rgb="FFFF0000"/>
        <rFont val="Arial"/>
        <family val="2"/>
      </rPr>
      <t>Employer NI applicable</t>
    </r>
  </si>
  <si>
    <t>Increase from previous year</t>
  </si>
  <si>
    <t xml:space="preserve">2024/25 ACTUAL RECEIPTS &amp; SPEND
(Exc VAT)
To 06/01/2025
</t>
  </si>
  <si>
    <t xml:space="preserve">Budget Left 2024/25
At 06/01/2025 (Inc estimated Receipts / Spend)
</t>
  </si>
  <si>
    <t>Estimated Receipts /Spend from Jan 6th to Mar 31st 2025</t>
  </si>
  <si>
    <t>Tea Club 04/12/24 + Spring Event 2nd April</t>
  </si>
  <si>
    <t>Repair Stedham Signpost, Daffodil Bulbs. Estimate for Iping AED &amp; installation</t>
  </si>
  <si>
    <t>Bank balance at 06/01/25</t>
  </si>
  <si>
    <r>
      <t xml:space="preserve">Includes costs for refurbishment of Iping Tel Box. </t>
    </r>
    <r>
      <rPr>
        <i/>
        <sz val="11"/>
        <color rgb="FFFF0000"/>
        <rFont val="Arial"/>
        <family val="2"/>
      </rPr>
      <t>Purchase of AED &amp; Cabinet in 2024/25 budget</t>
    </r>
  </si>
  <si>
    <t>Estimated total spend = £33572 + £7157 = £40729</t>
  </si>
  <si>
    <t>Income to 06/01/25</t>
  </si>
  <si>
    <t>Spend to 06/01/25 exc VAT</t>
  </si>
  <si>
    <t>Spend VAT to 06/01/25</t>
  </si>
  <si>
    <t>Bank balance at 06/01/25 = £22615.25</t>
  </si>
  <si>
    <t xml:space="preserve">Submitted VAT claim - £5326
Received 10/12/24. VAT on AED </t>
  </si>
  <si>
    <t>Income: </t>
  </si>
  <si>
    <t>Expenditure Revenue:  </t>
  </si>
  <si>
    <t>Expenditure Capital: </t>
  </si>
  <si>
    <t>Contingency(10% of Precept):</t>
  </si>
  <si>
    <t>Total Expenditure: </t>
  </si>
  <si>
    <t>Deficit: </t>
  </si>
  <si>
    <t>Estimated Carry Over from 2024/25</t>
  </si>
  <si>
    <t>Precept of £26.5k ~ 0.1% change on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</si>
</sst>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_);[Red]\(&quot;£&quot;#,##0\)"/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0000FF"/>
      <name val="Arial"/>
      <family val="2"/>
    </font>
    <font>
      <b/>
      <sz val="14"/>
      <color theme="9"/>
      <name val="Arial"/>
      <family val="2"/>
    </font>
    <font>
      <b/>
      <sz val="14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8000"/>
      <name val="Arial"/>
      <family val="2"/>
    </font>
    <font>
      <b/>
      <sz val="11"/>
      <color rgb="FF000000"/>
      <name val="Arial"/>
      <family val="2"/>
    </font>
    <font>
      <b/>
      <sz val="11"/>
      <color rgb="FF000090"/>
      <name val="Arial"/>
      <family val="2"/>
    </font>
    <font>
      <sz val="8"/>
      <name val="Calibri"/>
      <family val="2"/>
      <scheme val="minor"/>
    </font>
    <font>
      <sz val="14"/>
      <color theme="9"/>
      <name val="Arial"/>
      <family val="2"/>
    </font>
    <font>
      <sz val="14"/>
      <color theme="9" tint="-0.249977111117893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Calibri (Body)"/>
    </font>
    <font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7" fillId="0" borderId="0" applyNumberFormat="0" applyFill="0" applyBorder="0" applyProtection="0"/>
    <xf numFmtId="44" fontId="1" fillId="0" borderId="0" applyFont="0" applyFill="0" applyBorder="0" applyAlignment="0" applyProtection="0"/>
  </cellStyleXfs>
  <cellXfs count="201">
    <xf numFmtId="0" fontId="0" fillId="0" borderId="0" xfId="0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7" fontId="6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67" fontId="5" fillId="0" borderId="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167" fontId="10" fillId="0" borderId="6" xfId="0" applyNumberFormat="1" applyFont="1" applyBorder="1" applyAlignment="1">
      <alignment horizontal="left" vertical="top"/>
    </xf>
    <xf numFmtId="167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vertical="top"/>
    </xf>
    <xf numFmtId="0" fontId="10" fillId="2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9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6" xfId="0" applyFont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167" fontId="9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6" fillId="3" borderId="1" xfId="0" applyFont="1" applyFill="1" applyBorder="1" applyAlignment="1">
      <alignment vertical="top" wrapText="1"/>
    </xf>
    <xf numFmtId="167" fontId="5" fillId="0" borderId="6" xfId="0" applyNumberFormat="1" applyFont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6" fontId="9" fillId="0" borderId="0" xfId="0" applyNumberFormat="1" applyFont="1" applyAlignment="1">
      <alignment vertical="top" wrapText="1"/>
    </xf>
    <xf numFmtId="6" fontId="5" fillId="2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 wrapText="1"/>
    </xf>
    <xf numFmtId="6" fontId="0" fillId="0" borderId="0" xfId="0" applyNumberFormat="1" applyAlignment="1">
      <alignment vertical="top" wrapText="1"/>
    </xf>
    <xf numFmtId="6" fontId="10" fillId="5" borderId="5" xfId="0" applyNumberFormat="1" applyFont="1" applyFill="1" applyBorder="1" applyAlignment="1">
      <alignment horizontal="center" vertical="top" wrapText="1"/>
    </xf>
    <xf numFmtId="6" fontId="9" fillId="5" borderId="1" xfId="0" applyNumberFormat="1" applyFont="1" applyFill="1" applyBorder="1" applyAlignment="1">
      <alignment vertical="top" wrapText="1"/>
    </xf>
    <xf numFmtId="6" fontId="6" fillId="5" borderId="1" xfId="0" applyNumberFormat="1" applyFont="1" applyFill="1" applyBorder="1" applyAlignment="1">
      <alignment vertical="top" wrapText="1"/>
    </xf>
    <xf numFmtId="6" fontId="5" fillId="5" borderId="1" xfId="0" applyNumberFormat="1" applyFont="1" applyFill="1" applyBorder="1" applyAlignment="1">
      <alignment vertical="top" wrapText="1"/>
    </xf>
    <xf numFmtId="6" fontId="10" fillId="6" borderId="5" xfId="0" applyNumberFormat="1" applyFont="1" applyFill="1" applyBorder="1" applyAlignment="1">
      <alignment horizontal="center" vertical="top" wrapText="1"/>
    </xf>
    <xf numFmtId="6" fontId="9" fillId="6" borderId="1" xfId="0" applyNumberFormat="1" applyFont="1" applyFill="1" applyBorder="1" applyAlignment="1">
      <alignment vertical="top" wrapText="1"/>
    </xf>
    <xf numFmtId="6" fontId="6" fillId="6" borderId="1" xfId="0" applyNumberFormat="1" applyFont="1" applyFill="1" applyBorder="1" applyAlignment="1">
      <alignment vertical="top" wrapText="1"/>
    </xf>
    <xf numFmtId="6" fontId="5" fillId="6" borderId="1" xfId="0" applyNumberFormat="1" applyFont="1" applyFill="1" applyBorder="1" applyAlignment="1">
      <alignment vertical="top" wrapText="1"/>
    </xf>
    <xf numFmtId="6" fontId="9" fillId="6" borderId="1" xfId="0" applyNumberFormat="1" applyFont="1" applyFill="1" applyBorder="1" applyAlignment="1">
      <alignment vertical="top"/>
    </xf>
    <xf numFmtId="6" fontId="14" fillId="6" borderId="1" xfId="0" applyNumberFormat="1" applyFont="1" applyFill="1" applyBorder="1" applyAlignment="1">
      <alignment vertical="top"/>
    </xf>
    <xf numFmtId="6" fontId="14" fillId="5" borderId="1" xfId="0" applyNumberFormat="1" applyFont="1" applyFill="1" applyBorder="1" applyAlignment="1">
      <alignment vertical="top" wrapText="1"/>
    </xf>
    <xf numFmtId="6" fontId="10" fillId="6" borderId="1" xfId="0" applyNumberFormat="1" applyFont="1" applyFill="1" applyBorder="1" applyAlignment="1">
      <alignment vertical="top" wrapText="1"/>
    </xf>
    <xf numFmtId="6" fontId="10" fillId="5" borderId="1" xfId="0" applyNumberFormat="1" applyFont="1" applyFill="1" applyBorder="1" applyAlignment="1">
      <alignment vertical="top"/>
    </xf>
    <xf numFmtId="6" fontId="9" fillId="5" borderId="1" xfId="0" applyNumberFormat="1" applyFont="1" applyFill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67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167" fontId="9" fillId="0" borderId="10" xfId="0" applyNumberFormat="1" applyFont="1" applyBorder="1" applyAlignment="1">
      <alignment horizontal="left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0" fontId="19" fillId="0" borderId="10" xfId="0" applyFont="1" applyBorder="1" applyAlignment="1">
      <alignment vertical="top"/>
    </xf>
    <xf numFmtId="0" fontId="9" fillId="2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1" fillId="2" borderId="10" xfId="0" applyFont="1" applyFill="1" applyBorder="1" applyAlignment="1">
      <alignment vertical="top" wrapText="1"/>
    </xf>
    <xf numFmtId="6" fontId="9" fillId="0" borderId="0" xfId="0" applyNumberFormat="1" applyFont="1" applyAlignment="1">
      <alignment vertical="top"/>
    </xf>
    <xf numFmtId="6" fontId="10" fillId="4" borderId="1" xfId="0" applyNumberFormat="1" applyFont="1" applyFill="1" applyBorder="1" applyAlignment="1">
      <alignment horizontal="center" vertical="top" wrapText="1"/>
    </xf>
    <xf numFmtId="6" fontId="10" fillId="4" borderId="1" xfId="1" applyNumberFormat="1" applyFont="1" applyFill="1" applyBorder="1" applyAlignment="1">
      <alignment horizontal="center" vertical="top" wrapText="1"/>
    </xf>
    <xf numFmtId="6" fontId="9" fillId="4" borderId="1" xfId="0" applyNumberFormat="1" applyFont="1" applyFill="1" applyBorder="1" applyAlignment="1">
      <alignment vertical="top"/>
    </xf>
    <xf numFmtId="6" fontId="6" fillId="4" borderId="1" xfId="0" applyNumberFormat="1" applyFont="1" applyFill="1" applyBorder="1" applyAlignment="1">
      <alignment vertical="top"/>
    </xf>
    <xf numFmtId="6" fontId="5" fillId="4" borderId="1" xfId="0" applyNumberFormat="1" applyFont="1" applyFill="1" applyBorder="1" applyAlignment="1">
      <alignment vertical="top"/>
    </xf>
    <xf numFmtId="6" fontId="0" fillId="0" borderId="0" xfId="0" applyNumberFormat="1" applyAlignment="1">
      <alignment vertical="top"/>
    </xf>
    <xf numFmtId="0" fontId="10" fillId="7" borderId="5" xfId="0" applyFont="1" applyFill="1" applyBorder="1" applyAlignment="1">
      <alignment horizontal="center" vertical="top" wrapText="1"/>
    </xf>
    <xf numFmtId="164" fontId="10" fillId="7" borderId="1" xfId="1" applyFont="1" applyFill="1" applyBorder="1" applyAlignment="1">
      <alignment horizontal="center" vertical="top" wrapText="1"/>
    </xf>
    <xf numFmtId="6" fontId="9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 wrapText="1"/>
    </xf>
    <xf numFmtId="6" fontId="5" fillId="7" borderId="1" xfId="0" applyNumberFormat="1" applyFont="1" applyFill="1" applyBorder="1" applyAlignment="1">
      <alignment vertical="top" wrapText="1"/>
    </xf>
    <xf numFmtId="6" fontId="9" fillId="7" borderId="1" xfId="0" applyNumberFormat="1" applyFont="1" applyFill="1" applyBorder="1" applyAlignment="1">
      <alignment vertical="top" wrapText="1"/>
    </xf>
    <xf numFmtId="6" fontId="14" fillId="7" borderId="1" xfId="0" applyNumberFormat="1" applyFont="1" applyFill="1" applyBorder="1" applyAlignment="1">
      <alignment vertical="top"/>
    </xf>
    <xf numFmtId="6" fontId="10" fillId="7" borderId="1" xfId="0" applyNumberFormat="1" applyFont="1" applyFill="1" applyBorder="1" applyAlignment="1">
      <alignment vertical="top"/>
    </xf>
    <xf numFmtId="6" fontId="0" fillId="4" borderId="1" xfId="0" applyNumberFormat="1" applyFill="1" applyBorder="1" applyAlignment="1">
      <alignment vertical="top"/>
    </xf>
    <xf numFmtId="167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67" fontId="17" fillId="0" borderId="7" xfId="0" applyNumberFormat="1" applyFont="1" applyBorder="1" applyAlignment="1">
      <alignment horizontal="right" vertical="top" wrapText="1"/>
    </xf>
    <xf numFmtId="167" fontId="17" fillId="0" borderId="8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6" fontId="2" fillId="4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6" fontId="10" fillId="8" borderId="5" xfId="0" applyNumberFormat="1" applyFont="1" applyFill="1" applyBorder="1" applyAlignment="1">
      <alignment horizontal="center" vertical="top" wrapText="1"/>
    </xf>
    <xf numFmtId="6" fontId="9" fillId="8" borderId="1" xfId="0" applyNumberFormat="1" applyFont="1" applyFill="1" applyBorder="1" applyAlignment="1">
      <alignment vertical="top"/>
    </xf>
    <xf numFmtId="6" fontId="10" fillId="8" borderId="1" xfId="0" applyNumberFormat="1" applyFont="1" applyFill="1" applyBorder="1" applyAlignment="1">
      <alignment vertical="top"/>
    </xf>
    <xf numFmtId="6" fontId="0" fillId="8" borderId="1" xfId="0" applyNumberFormat="1" applyFill="1" applyBorder="1" applyAlignment="1">
      <alignment vertical="top"/>
    </xf>
    <xf numFmtId="6" fontId="2" fillId="8" borderId="1" xfId="0" applyNumberFormat="1" applyFont="1" applyFill="1" applyBorder="1" applyAlignment="1">
      <alignment vertical="top"/>
    </xf>
    <xf numFmtId="6" fontId="10" fillId="9" borderId="1" xfId="0" applyNumberFormat="1" applyFont="1" applyFill="1" applyBorder="1" applyAlignment="1">
      <alignment vertical="top"/>
    </xf>
    <xf numFmtId="6" fontId="9" fillId="8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/>
    </xf>
    <xf numFmtId="6" fontId="9" fillId="2" borderId="1" xfId="0" applyNumberFormat="1" applyFont="1" applyFill="1" applyBorder="1" applyAlignment="1">
      <alignment vertical="top"/>
    </xf>
    <xf numFmtId="6" fontId="17" fillId="2" borderId="13" xfId="0" applyNumberFormat="1" applyFont="1" applyFill="1" applyBorder="1" applyAlignment="1">
      <alignment vertical="top" wrapText="1"/>
    </xf>
    <xf numFmtId="6" fontId="10" fillId="8" borderId="1" xfId="1" applyNumberFormat="1" applyFont="1" applyFill="1" applyBorder="1" applyAlignment="1">
      <alignment horizontal="center" vertical="top" wrapText="1"/>
    </xf>
    <xf numFmtId="6" fontId="10" fillId="8" borderId="1" xfId="0" applyNumberFormat="1" applyFont="1" applyFill="1" applyBorder="1" applyAlignment="1">
      <alignment horizontal="center" vertical="top" wrapText="1"/>
    </xf>
    <xf numFmtId="6" fontId="5" fillId="8" borderId="1" xfId="0" applyNumberFormat="1" applyFont="1" applyFill="1" applyBorder="1" applyAlignment="1">
      <alignment vertical="top"/>
    </xf>
    <xf numFmtId="6" fontId="6" fillId="8" borderId="1" xfId="0" applyNumberFormat="1" applyFont="1" applyFill="1" applyBorder="1" applyAlignment="1">
      <alignment vertical="top"/>
    </xf>
    <xf numFmtId="0" fontId="22" fillId="0" borderId="0" xfId="0" applyFont="1"/>
    <xf numFmtId="167" fontId="22" fillId="0" borderId="0" xfId="0" applyNumberFormat="1" applyFont="1"/>
    <xf numFmtId="167" fontId="2" fillId="5" borderId="1" xfId="0" applyNumberFormat="1" applyFont="1" applyFill="1" applyBorder="1" applyAlignment="1">
      <alignment vertical="top" wrapText="1"/>
    </xf>
    <xf numFmtId="166" fontId="2" fillId="7" borderId="2" xfId="0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67" fontId="2" fillId="7" borderId="12" xfId="0" applyNumberFormat="1" applyFont="1" applyFill="1" applyBorder="1" applyAlignment="1">
      <alignment vertical="top"/>
    </xf>
    <xf numFmtId="167" fontId="2" fillId="7" borderId="1" xfId="0" applyNumberFormat="1" applyFont="1" applyFill="1" applyBorder="1" applyAlignment="1">
      <alignment vertical="top"/>
    </xf>
    <xf numFmtId="0" fontId="10" fillId="0" borderId="10" xfId="0" applyFont="1" applyBorder="1" applyAlignment="1">
      <alignment horizontal="left" vertical="top"/>
    </xf>
    <xf numFmtId="6" fontId="5" fillId="2" borderId="1" xfId="0" applyNumberFormat="1" applyFont="1" applyFill="1" applyBorder="1" applyAlignment="1">
      <alignment vertical="top"/>
    </xf>
    <xf numFmtId="167" fontId="17" fillId="0" borderId="11" xfId="0" applyNumberFormat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/>
    </xf>
    <xf numFmtId="167" fontId="10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6" xfId="0" applyFont="1" applyFill="1" applyBorder="1" applyAlignment="1">
      <alignment horizontal="right" vertical="top" wrapText="1"/>
    </xf>
    <xf numFmtId="0" fontId="10" fillId="2" borderId="10" xfId="0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6" fontId="0" fillId="5" borderId="1" xfId="0" applyNumberFormat="1" applyFill="1" applyBorder="1" applyAlignment="1">
      <alignment vertical="top" wrapText="1"/>
    </xf>
    <xf numFmtId="167" fontId="0" fillId="6" borderId="1" xfId="0" applyNumberFormat="1" applyFill="1" applyBorder="1" applyAlignment="1">
      <alignment horizontal="right" vertical="top" wrapText="1"/>
    </xf>
    <xf numFmtId="167" fontId="2" fillId="6" borderId="1" xfId="0" applyNumberFormat="1" applyFont="1" applyFill="1" applyBorder="1" applyAlignment="1">
      <alignment vertical="top" wrapText="1"/>
    </xf>
    <xf numFmtId="166" fontId="10" fillId="0" borderId="14" xfId="0" applyNumberFormat="1" applyFont="1" applyBorder="1" applyAlignment="1">
      <alignment vertical="top"/>
    </xf>
    <xf numFmtId="166" fontId="9" fillId="0" borderId="15" xfId="0" applyNumberFormat="1" applyFont="1" applyBorder="1" applyAlignment="1">
      <alignment vertical="top"/>
    </xf>
    <xf numFmtId="166" fontId="0" fillId="0" borderId="16" xfId="0" applyNumberFormat="1" applyBorder="1" applyAlignment="1">
      <alignment vertical="top"/>
    </xf>
    <xf numFmtId="166" fontId="0" fillId="0" borderId="16" xfId="0" applyNumberFormat="1" applyBorder="1" applyAlignment="1">
      <alignment horizontal="right" vertical="top" wrapText="1"/>
    </xf>
    <xf numFmtId="166" fontId="9" fillId="6" borderId="16" xfId="0" applyNumberFormat="1" applyFont="1" applyFill="1" applyBorder="1" applyAlignment="1">
      <alignment horizontal="right" vertical="top" wrapText="1"/>
    </xf>
    <xf numFmtId="166" fontId="9" fillId="6" borderId="17" xfId="0" applyNumberFormat="1" applyFont="1" applyFill="1" applyBorder="1" applyAlignment="1">
      <alignment horizontal="right" vertical="top" wrapText="1"/>
    </xf>
    <xf numFmtId="166" fontId="0" fillId="5" borderId="17" xfId="0" applyNumberFormat="1" applyFill="1" applyBorder="1" applyAlignment="1">
      <alignment horizontal="right" vertical="top" wrapText="1"/>
    </xf>
    <xf numFmtId="166" fontId="0" fillId="4" borderId="2" xfId="0" applyNumberFormat="1" applyFill="1" applyBorder="1" applyAlignment="1">
      <alignment vertical="top"/>
    </xf>
    <xf numFmtId="166" fontId="0" fillId="8" borderId="1" xfId="0" applyNumberFormat="1" applyFill="1" applyBorder="1" applyAlignment="1">
      <alignment vertical="top"/>
    </xf>
    <xf numFmtId="166" fontId="0" fillId="8" borderId="2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0" fillId="7" borderId="18" xfId="0" applyNumberFormat="1" applyFill="1" applyBorder="1" applyAlignment="1">
      <alignment vertical="top"/>
    </xf>
    <xf numFmtId="6" fontId="10" fillId="10" borderId="5" xfId="0" applyNumberFormat="1" applyFont="1" applyFill="1" applyBorder="1" applyAlignment="1">
      <alignment horizontal="center" vertical="top" wrapText="1"/>
    </xf>
    <xf numFmtId="6" fontId="9" fillId="10" borderId="1" xfId="0" applyNumberFormat="1" applyFont="1" applyFill="1" applyBorder="1" applyAlignment="1">
      <alignment vertical="top"/>
    </xf>
    <xf numFmtId="6" fontId="9" fillId="10" borderId="1" xfId="0" applyNumberFormat="1" applyFont="1" applyFill="1" applyBorder="1" applyAlignment="1">
      <alignment vertical="top" wrapText="1"/>
    </xf>
    <xf numFmtId="6" fontId="10" fillId="10" borderId="1" xfId="0" applyNumberFormat="1" applyFont="1" applyFill="1" applyBorder="1" applyAlignment="1">
      <alignment vertical="top"/>
    </xf>
    <xf numFmtId="166" fontId="0" fillId="10" borderId="1" xfId="0" applyNumberFormat="1" applyFill="1" applyBorder="1" applyAlignment="1">
      <alignment vertical="top"/>
    </xf>
    <xf numFmtId="6" fontId="0" fillId="10" borderId="1" xfId="0" applyNumberFormat="1" applyFill="1" applyBorder="1" applyAlignment="1">
      <alignment vertical="top"/>
    </xf>
    <xf numFmtId="6" fontId="2" fillId="10" borderId="1" xfId="0" applyNumberFormat="1" applyFont="1" applyFill="1" applyBorder="1" applyAlignment="1">
      <alignment vertical="top"/>
    </xf>
    <xf numFmtId="6" fontId="17" fillId="6" borderId="3" xfId="0" applyNumberFormat="1" applyFont="1" applyFill="1" applyBorder="1" applyAlignment="1">
      <alignment vertical="top" wrapText="1"/>
    </xf>
    <xf numFmtId="6" fontId="17" fillId="6" borderId="8" xfId="0" applyNumberFormat="1" applyFont="1" applyFill="1" applyBorder="1" applyAlignment="1">
      <alignment vertical="top" wrapText="1"/>
    </xf>
    <xf numFmtId="6" fontId="17" fillId="5" borderId="8" xfId="0" applyNumberFormat="1" applyFont="1" applyFill="1" applyBorder="1" applyAlignment="1">
      <alignment vertical="top" wrapText="1"/>
    </xf>
    <xf numFmtId="6" fontId="17" fillId="7" borderId="13" xfId="0" applyNumberFormat="1" applyFont="1" applyFill="1" applyBorder="1" applyAlignment="1">
      <alignment vertical="top" wrapText="1"/>
    </xf>
    <xf numFmtId="6" fontId="17" fillId="7" borderId="8" xfId="0" applyNumberFormat="1" applyFont="1" applyFill="1" applyBorder="1" applyAlignment="1">
      <alignment vertical="top" wrapText="1"/>
    </xf>
    <xf numFmtId="166" fontId="2" fillId="10" borderId="1" xfId="0" applyNumberFormat="1" applyFont="1" applyFill="1" applyBorder="1" applyAlignment="1">
      <alignment vertical="top"/>
    </xf>
    <xf numFmtId="0" fontId="22" fillId="0" borderId="1" xfId="0" applyFont="1" applyBorder="1"/>
    <xf numFmtId="167" fontId="22" fillId="0" borderId="1" xfId="0" applyNumberFormat="1" applyFont="1" applyBorder="1"/>
    <xf numFmtId="0" fontId="23" fillId="0" borderId="1" xfId="0" applyFont="1" applyBorder="1"/>
    <xf numFmtId="167" fontId="23" fillId="0" borderId="1" xfId="0" applyNumberFormat="1" applyFont="1" applyBorder="1"/>
    <xf numFmtId="6" fontId="23" fillId="0" borderId="1" xfId="0" applyNumberFormat="1" applyFont="1" applyBorder="1" applyAlignment="1">
      <alignment vertical="top"/>
    </xf>
    <xf numFmtId="6" fontId="9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/>
    </xf>
    <xf numFmtId="6" fontId="5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 wrapText="1"/>
    </xf>
    <xf numFmtId="166" fontId="6" fillId="11" borderId="1" xfId="0" applyNumberFormat="1" applyFont="1" applyFill="1" applyBorder="1" applyAlignment="1">
      <alignment vertical="top" wrapText="1"/>
    </xf>
    <xf numFmtId="6" fontId="10" fillId="11" borderId="1" xfId="1" applyNumberFormat="1" applyFont="1" applyFill="1" applyBorder="1" applyAlignment="1">
      <alignment horizontal="center" vertical="top" wrapText="1"/>
    </xf>
    <xf numFmtId="0" fontId="6" fillId="8" borderId="0" xfId="0" applyFont="1" applyFill="1" applyAlignment="1">
      <alignment vertical="top" wrapText="1"/>
    </xf>
    <xf numFmtId="6" fontId="3" fillId="10" borderId="1" xfId="0" applyNumberFormat="1" applyFont="1" applyFill="1" applyBorder="1" applyAlignment="1">
      <alignment vertical="top" wrapText="1"/>
    </xf>
    <xf numFmtId="166" fontId="0" fillId="11" borderId="2" xfId="0" applyNumberFormat="1" applyFill="1" applyBorder="1" applyAlignment="1">
      <alignment vertical="top"/>
    </xf>
    <xf numFmtId="6" fontId="0" fillId="11" borderId="1" xfId="0" applyNumberFormat="1" applyFill="1" applyBorder="1" applyAlignment="1">
      <alignment vertical="top"/>
    </xf>
    <xf numFmtId="6" fontId="2" fillId="11" borderId="1" xfId="0" applyNumberFormat="1" applyFont="1" applyFill="1" applyBorder="1" applyAlignment="1">
      <alignment vertical="top"/>
    </xf>
    <xf numFmtId="167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6" fontId="3" fillId="6" borderId="1" xfId="0" applyNumberFormat="1" applyFont="1" applyFill="1" applyBorder="1" applyAlignment="1">
      <alignment vertical="top" wrapText="1"/>
    </xf>
    <xf numFmtId="6" fontId="3" fillId="5" borderId="1" xfId="0" applyNumberFormat="1" applyFont="1" applyFill="1" applyBorder="1" applyAlignment="1">
      <alignment vertical="top" wrapText="1"/>
    </xf>
    <xf numFmtId="6" fontId="3" fillId="7" borderId="1" xfId="0" applyNumberFormat="1" applyFont="1" applyFill="1" applyBorder="1" applyAlignment="1">
      <alignment vertical="top" wrapText="1"/>
    </xf>
    <xf numFmtId="6" fontId="3" fillId="4" borderId="1" xfId="0" applyNumberFormat="1" applyFont="1" applyFill="1" applyBorder="1" applyAlignment="1">
      <alignment vertical="top"/>
    </xf>
    <xf numFmtId="6" fontId="3" fillId="11" borderId="1" xfId="0" applyNumberFormat="1" applyFont="1" applyFill="1" applyBorder="1" applyAlignment="1">
      <alignment vertical="top"/>
    </xf>
    <xf numFmtId="6" fontId="3" fillId="8" borderId="1" xfId="0" applyNumberFormat="1" applyFont="1" applyFill="1" applyBorder="1" applyAlignment="1">
      <alignment vertical="top"/>
    </xf>
    <xf numFmtId="6" fontId="3" fillId="8" borderId="1" xfId="0" applyNumberFormat="1" applyFont="1" applyFill="1" applyBorder="1" applyAlignment="1">
      <alignment vertical="top" wrapText="1"/>
    </xf>
    <xf numFmtId="10" fontId="0" fillId="10" borderId="1" xfId="0" applyNumberFormat="1" applyFill="1" applyBorder="1" applyAlignment="1">
      <alignment vertical="top"/>
    </xf>
    <xf numFmtId="6" fontId="25" fillId="10" borderId="1" xfId="0" applyNumberFormat="1" applyFont="1" applyFill="1" applyBorder="1" applyAlignment="1">
      <alignment vertical="top"/>
    </xf>
    <xf numFmtId="0" fontId="26" fillId="0" borderId="1" xfId="0" applyFont="1" applyBorder="1"/>
    <xf numFmtId="6" fontId="22" fillId="0" borderId="1" xfId="0" applyNumberFormat="1" applyFont="1" applyBorder="1"/>
  </cellXfs>
  <cellStyles count="6">
    <cellStyle name="Comma 2" xfId="3" xr:uid="{88D4E69E-3B6D-438E-9426-F436CD04EE93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00CC00"/>
      <color rgb="FF99FF66"/>
      <color rgb="FFB4C6E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erine Myres" id="{17F5ACE9-AD13-492E-8714-64B8E337D5D4}" userId="fb9ab387a41d930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C12A-F819-4909-BCAD-86A1D00E023E}">
  <sheetPr>
    <pageSetUpPr fitToPage="1"/>
  </sheetPr>
  <dimension ref="A1:V70"/>
  <sheetViews>
    <sheetView showGridLines="0" zoomScale="130" zoomScaleNormal="130" workbookViewId="0">
      <pane xSplit="4" ySplit="3" topLeftCell="R4" activePane="bottomRight" state="frozen"/>
      <selection pane="topRight" activeCell="D1" sqref="D1"/>
      <selection pane="bottomLeft" activeCell="A4" sqref="A4"/>
      <selection pane="bottomRight" activeCell="T5" sqref="T5:T6"/>
    </sheetView>
  </sheetViews>
  <sheetFormatPr baseColWidth="10" defaultColWidth="8.6640625" defaultRowHeight="14" x14ac:dyDescent="0.2"/>
  <cols>
    <col min="1" max="1" width="14.83203125" style="46" customWidth="1"/>
    <col min="2" max="2" width="11.6640625" style="46" hidden="1" customWidth="1"/>
    <col min="3" max="3" width="9.6640625" style="46" customWidth="1"/>
    <col min="4" max="4" width="24.5" style="52" customWidth="1"/>
    <col min="5" max="6" width="14.33203125" style="52" hidden="1" customWidth="1"/>
    <col min="7" max="7" width="14.33203125" style="55" hidden="1" customWidth="1"/>
    <col min="8" max="8" width="13.33203125" style="55" hidden="1" customWidth="1"/>
    <col min="9" max="10" width="13.6640625" style="2" hidden="1" customWidth="1"/>
    <col min="11" max="12" width="13.33203125" style="87" hidden="1" customWidth="1"/>
    <col min="13" max="18" width="13.33203125" style="87" customWidth="1"/>
    <col min="19" max="19" width="31.5" style="87" customWidth="1"/>
    <col min="20" max="20" width="15.5" style="87" customWidth="1"/>
    <col min="21" max="21" width="34.5" style="87" customWidth="1"/>
    <col min="22" max="22" width="23.33203125" style="87" customWidth="1"/>
    <col min="23" max="16384" width="8.6640625" style="2"/>
  </cols>
  <sheetData>
    <row r="1" spans="1:22" ht="20" x14ac:dyDescent="0.2">
      <c r="A1" s="1" t="s">
        <v>144</v>
      </c>
      <c r="B1" s="1"/>
      <c r="C1" s="1"/>
      <c r="K1" s="2"/>
    </row>
    <row r="2" spans="1:22" ht="21" thickBot="1" x14ac:dyDescent="0.25">
      <c r="A2" s="2"/>
      <c r="B2" s="2"/>
      <c r="C2" s="1"/>
      <c r="I2" s="3"/>
      <c r="J2" s="3"/>
      <c r="K2" s="3"/>
      <c r="L2" s="3"/>
      <c r="M2" s="3"/>
      <c r="N2" s="3"/>
      <c r="P2" s="3"/>
      <c r="Q2" s="3"/>
      <c r="R2" s="3"/>
    </row>
    <row r="3" spans="1:22" s="7" customFormat="1" ht="120" x14ac:dyDescent="0.2">
      <c r="A3" s="4" t="s">
        <v>0</v>
      </c>
      <c r="B3" s="81" t="s">
        <v>124</v>
      </c>
      <c r="C3" s="5" t="s">
        <v>1</v>
      </c>
      <c r="D3" s="6" t="s">
        <v>2</v>
      </c>
      <c r="E3" s="63" t="s">
        <v>107</v>
      </c>
      <c r="F3" s="63" t="s">
        <v>108</v>
      </c>
      <c r="G3" s="59" t="s">
        <v>105</v>
      </c>
      <c r="H3" s="59" t="s">
        <v>106</v>
      </c>
      <c r="I3" s="94" t="s">
        <v>104</v>
      </c>
      <c r="J3" s="95" t="s">
        <v>127</v>
      </c>
      <c r="K3" s="88" t="s">
        <v>128</v>
      </c>
      <c r="L3" s="89" t="s">
        <v>130</v>
      </c>
      <c r="M3" s="182" t="s">
        <v>145</v>
      </c>
      <c r="N3" s="182" t="s">
        <v>146</v>
      </c>
      <c r="O3" s="114" t="s">
        <v>151</v>
      </c>
      <c r="P3" s="124" t="s">
        <v>183</v>
      </c>
      <c r="Q3" s="125" t="s">
        <v>184</v>
      </c>
      <c r="R3" s="125" t="s">
        <v>185</v>
      </c>
      <c r="S3" s="114" t="s">
        <v>147</v>
      </c>
      <c r="T3" s="159" t="s">
        <v>148</v>
      </c>
      <c r="U3" s="159" t="s">
        <v>149</v>
      </c>
      <c r="V3" s="159" t="s">
        <v>150</v>
      </c>
    </row>
    <row r="4" spans="1:22" ht="19" x14ac:dyDescent="0.2">
      <c r="A4" s="8" t="s">
        <v>3</v>
      </c>
      <c r="B4" s="74"/>
      <c r="C4" s="9"/>
      <c r="D4" s="24"/>
      <c r="E4" s="64"/>
      <c r="F4" s="64"/>
      <c r="G4" s="60"/>
      <c r="H4" s="60"/>
      <c r="I4" s="96"/>
      <c r="J4" s="96"/>
      <c r="K4" s="90"/>
      <c r="L4" s="90"/>
      <c r="M4" s="177"/>
      <c r="N4" s="177"/>
      <c r="O4" s="115"/>
      <c r="P4" s="115"/>
      <c r="Q4" s="115"/>
      <c r="R4" s="115"/>
      <c r="S4" s="115"/>
      <c r="T4" s="160"/>
      <c r="U4" s="160"/>
      <c r="V4" s="160"/>
    </row>
    <row r="5" spans="1:22" s="13" customFormat="1" ht="30" x14ac:dyDescent="0.2">
      <c r="A5" s="11"/>
      <c r="B5" s="75" t="s">
        <v>113</v>
      </c>
      <c r="C5" s="12" t="s">
        <v>4</v>
      </c>
      <c r="D5" s="12" t="s">
        <v>5</v>
      </c>
      <c r="E5" s="65">
        <v>25010</v>
      </c>
      <c r="F5" s="65">
        <v>25010</v>
      </c>
      <c r="G5" s="61">
        <v>23000</v>
      </c>
      <c r="H5" s="61">
        <v>23000</v>
      </c>
      <c r="I5" s="97">
        <v>25000</v>
      </c>
      <c r="J5" s="97">
        <v>25000</v>
      </c>
      <c r="K5" s="91">
        <v>25000</v>
      </c>
      <c r="L5" s="91">
        <v>25000</v>
      </c>
      <c r="M5" s="180">
        <v>25000</v>
      </c>
      <c r="N5" s="178">
        <v>25000</v>
      </c>
      <c r="O5" s="115">
        <v>25000</v>
      </c>
      <c r="P5" s="127">
        <v>25000</v>
      </c>
      <c r="Q5" s="115"/>
      <c r="R5" s="127">
        <v>0</v>
      </c>
      <c r="S5" s="115"/>
      <c r="T5" s="160">
        <v>26500</v>
      </c>
      <c r="U5" s="184" t="s">
        <v>203</v>
      </c>
      <c r="V5" s="160">
        <f>P5+R5-T5</f>
        <v>-1500</v>
      </c>
    </row>
    <row r="6" spans="1:22" s="13" customFormat="1" ht="15" x14ac:dyDescent="0.2">
      <c r="A6" s="14"/>
      <c r="B6" s="76" t="s">
        <v>115</v>
      </c>
      <c r="C6" s="12" t="s">
        <v>6</v>
      </c>
      <c r="D6" s="12" t="s">
        <v>7</v>
      </c>
      <c r="E6" s="65">
        <v>350</v>
      </c>
      <c r="F6" s="65">
        <v>332.5</v>
      </c>
      <c r="G6" s="61">
        <v>350</v>
      </c>
      <c r="H6" s="61">
        <v>350</v>
      </c>
      <c r="I6" s="98">
        <v>350</v>
      </c>
      <c r="J6" s="98">
        <v>332.5</v>
      </c>
      <c r="K6" s="91">
        <v>350</v>
      </c>
      <c r="L6" s="91">
        <v>350</v>
      </c>
      <c r="M6" s="181">
        <v>350</v>
      </c>
      <c r="N6" s="178">
        <v>350</v>
      </c>
      <c r="O6" s="115">
        <v>350</v>
      </c>
      <c r="P6" s="127">
        <v>350</v>
      </c>
      <c r="Q6" s="115"/>
      <c r="R6" s="127">
        <v>0</v>
      </c>
      <c r="S6" s="115"/>
      <c r="T6" s="160">
        <v>350</v>
      </c>
      <c r="U6" s="160" t="s">
        <v>129</v>
      </c>
      <c r="V6" s="160">
        <f>P6+R6-T6</f>
        <v>0</v>
      </c>
    </row>
    <row r="7" spans="1:22" s="13" customFormat="1" ht="30" x14ac:dyDescent="0.2">
      <c r="A7" s="14"/>
      <c r="B7" s="76" t="s">
        <v>114</v>
      </c>
      <c r="C7" s="12" t="s">
        <v>8</v>
      </c>
      <c r="D7" s="12" t="s">
        <v>9</v>
      </c>
      <c r="E7" s="65">
        <v>1140</v>
      </c>
      <c r="F7" s="65">
        <v>5400.57</v>
      </c>
      <c r="G7" s="61">
        <v>2500</v>
      </c>
      <c r="H7" s="61">
        <v>8494</v>
      </c>
      <c r="I7" s="98"/>
      <c r="J7" s="98">
        <v>13355</v>
      </c>
      <c r="K7" s="91"/>
      <c r="L7" s="91"/>
      <c r="M7" s="178"/>
      <c r="N7" s="178">
        <v>9000</v>
      </c>
      <c r="O7" s="115"/>
      <c r="P7" s="127">
        <v>11000</v>
      </c>
      <c r="Q7" s="115"/>
      <c r="R7" s="127">
        <v>0</v>
      </c>
      <c r="S7" s="115" t="s">
        <v>154</v>
      </c>
      <c r="T7" s="160"/>
      <c r="U7" s="161" t="s">
        <v>166</v>
      </c>
      <c r="V7" s="160"/>
    </row>
    <row r="8" spans="1:22" s="13" customFormat="1" ht="45" x14ac:dyDescent="0.2">
      <c r="A8" s="14"/>
      <c r="B8" s="76" t="s">
        <v>115</v>
      </c>
      <c r="C8" s="12" t="s">
        <v>10</v>
      </c>
      <c r="D8" s="12" t="s">
        <v>11</v>
      </c>
      <c r="E8" s="65"/>
      <c r="F8" s="65">
        <v>450.63</v>
      </c>
      <c r="G8" s="61"/>
      <c r="H8" s="61">
        <v>121.77</v>
      </c>
      <c r="I8" s="97"/>
      <c r="J8" s="97">
        <v>45.5</v>
      </c>
      <c r="K8" s="91"/>
      <c r="L8" s="91">
        <v>1807.06</v>
      </c>
      <c r="M8" s="178"/>
      <c r="N8" s="178">
        <v>1033.33</v>
      </c>
      <c r="O8" s="115"/>
      <c r="P8" s="127">
        <v>457.51</v>
      </c>
      <c r="Q8" s="115"/>
      <c r="R8" s="127">
        <v>75</v>
      </c>
      <c r="S8" s="120" t="s">
        <v>170</v>
      </c>
      <c r="T8" s="161"/>
      <c r="U8" s="160"/>
      <c r="V8" s="160"/>
    </row>
    <row r="9" spans="1:22" s="13" customFormat="1" ht="30" x14ac:dyDescent="0.2">
      <c r="A9" s="14"/>
      <c r="B9" s="76" t="s">
        <v>115</v>
      </c>
      <c r="C9" s="12" t="s">
        <v>10</v>
      </c>
      <c r="D9" s="12" t="s">
        <v>111</v>
      </c>
      <c r="E9" s="65"/>
      <c r="F9" s="65">
        <v>6668.45</v>
      </c>
      <c r="G9" s="61"/>
      <c r="H9" s="61">
        <v>4199.13</v>
      </c>
      <c r="I9" s="97"/>
      <c r="J9" s="97">
        <v>1655.5800000000002</v>
      </c>
      <c r="K9" s="91"/>
      <c r="L9" s="91">
        <v>5974.49</v>
      </c>
      <c r="M9" s="178"/>
      <c r="N9" s="178">
        <v>4126.55</v>
      </c>
      <c r="O9" s="115"/>
      <c r="P9" s="127">
        <v>5326.01</v>
      </c>
      <c r="Q9" s="115"/>
      <c r="R9" s="127">
        <v>350</v>
      </c>
      <c r="S9" s="183" t="s">
        <v>195</v>
      </c>
      <c r="T9" s="160"/>
      <c r="U9" s="160"/>
      <c r="V9" s="160"/>
    </row>
    <row r="10" spans="1:22" s="18" customFormat="1" ht="15" x14ac:dyDescent="0.2">
      <c r="A10" s="15"/>
      <c r="B10" s="82" t="s">
        <v>125</v>
      </c>
      <c r="C10" s="16"/>
      <c r="D10" s="17" t="s">
        <v>12</v>
      </c>
      <c r="E10" s="56">
        <v>26500</v>
      </c>
      <c r="F10" s="56">
        <f t="shared" ref="F10:R10" si="0">SUM(F5:F9)</f>
        <v>37862.15</v>
      </c>
      <c r="G10" s="56">
        <f t="shared" si="0"/>
        <v>25850</v>
      </c>
      <c r="H10" s="56">
        <f t="shared" si="0"/>
        <v>36164.9</v>
      </c>
      <c r="I10" s="56">
        <f t="shared" si="0"/>
        <v>25350</v>
      </c>
      <c r="J10" s="56">
        <f t="shared" si="0"/>
        <v>40388.58</v>
      </c>
      <c r="K10" s="56">
        <f t="shared" si="0"/>
        <v>25350</v>
      </c>
      <c r="L10" s="56">
        <f t="shared" si="0"/>
        <v>33131.550000000003</v>
      </c>
      <c r="M10" s="56">
        <f t="shared" si="0"/>
        <v>25350</v>
      </c>
      <c r="N10" s="56">
        <f t="shared" si="0"/>
        <v>39509.880000000005</v>
      </c>
      <c r="O10" s="56">
        <f t="shared" si="0"/>
        <v>25350</v>
      </c>
      <c r="P10" s="56">
        <f t="shared" si="0"/>
        <v>42133.520000000004</v>
      </c>
      <c r="Q10" s="56">
        <f t="shared" si="0"/>
        <v>0</v>
      </c>
      <c r="R10" s="56">
        <f t="shared" si="0"/>
        <v>425</v>
      </c>
      <c r="S10" s="119"/>
      <c r="T10" s="121">
        <f>SUM(T5:T9)</f>
        <v>26850</v>
      </c>
      <c r="U10" s="121"/>
      <c r="V10" s="121"/>
    </row>
    <row r="11" spans="1:22" s="51" customFormat="1" x14ac:dyDescent="0.2">
      <c r="A11" s="49"/>
      <c r="B11" s="76" t="s">
        <v>125</v>
      </c>
      <c r="C11" s="50"/>
      <c r="D11" s="19"/>
      <c r="E11" s="66"/>
      <c r="F11" s="66"/>
      <c r="G11" s="62"/>
      <c r="H11" s="62"/>
      <c r="I11" s="99"/>
      <c r="J11" s="99"/>
      <c r="K11" s="92"/>
      <c r="L11" s="92"/>
      <c r="M11" s="179"/>
      <c r="N11" s="179"/>
      <c r="O11" s="116"/>
      <c r="P11" s="126"/>
      <c r="Q11" s="126"/>
      <c r="R11" s="126"/>
      <c r="S11" s="116"/>
      <c r="T11" s="162"/>
      <c r="U11" s="162"/>
      <c r="V11" s="162"/>
    </row>
    <row r="12" spans="1:22" ht="18" x14ac:dyDescent="0.2">
      <c r="A12" s="20" t="s">
        <v>13</v>
      </c>
      <c r="B12" s="83"/>
      <c r="C12" s="21"/>
      <c r="D12" s="24"/>
      <c r="E12" s="64"/>
      <c r="F12" s="64"/>
      <c r="G12" s="60"/>
      <c r="H12" s="60"/>
      <c r="I12" s="100"/>
      <c r="J12" s="100"/>
      <c r="K12" s="90"/>
      <c r="L12" s="90"/>
      <c r="M12" s="177"/>
      <c r="N12" s="177"/>
      <c r="O12" s="115"/>
      <c r="P12" s="115"/>
      <c r="Q12" s="115"/>
      <c r="R12" s="115"/>
      <c r="S12" s="115"/>
      <c r="T12" s="160"/>
      <c r="U12" s="160"/>
      <c r="V12" s="160"/>
    </row>
    <row r="13" spans="1:22" s="13" customFormat="1" ht="15" x14ac:dyDescent="0.2">
      <c r="A13" s="22" t="s">
        <v>14</v>
      </c>
      <c r="B13" s="78" t="s">
        <v>116</v>
      </c>
      <c r="C13" s="23" t="s">
        <v>15</v>
      </c>
      <c r="D13" s="24" t="s">
        <v>16</v>
      </c>
      <c r="E13" s="64">
        <v>3615.3599999999997</v>
      </c>
      <c r="F13" s="64">
        <v>3677.25</v>
      </c>
      <c r="G13" s="60">
        <v>3615</v>
      </c>
      <c r="H13" s="60">
        <v>3624.139999999999</v>
      </c>
      <c r="I13" s="100">
        <v>3652</v>
      </c>
      <c r="J13" s="100">
        <v>3615.3599999999992</v>
      </c>
      <c r="K13" s="91">
        <v>3689</v>
      </c>
      <c r="L13" s="91">
        <v>3689.28</v>
      </c>
      <c r="M13" s="178">
        <v>3725.89</v>
      </c>
      <c r="N13" s="178">
        <v>3726.24</v>
      </c>
      <c r="O13" s="115">
        <v>4368</v>
      </c>
      <c r="P13" s="127">
        <v>2912</v>
      </c>
      <c r="Q13" s="127">
        <f>O13-P13</f>
        <v>1456</v>
      </c>
      <c r="R13" s="127">
        <f>O13/12*4</f>
        <v>1456</v>
      </c>
      <c r="S13" s="120"/>
      <c r="T13" s="161">
        <f>28*12*13*1.01</f>
        <v>4411.68</v>
      </c>
      <c r="U13" s="161" t="s">
        <v>176</v>
      </c>
      <c r="V13" s="160">
        <f>P13+R13-T13</f>
        <v>-43.680000000000291</v>
      </c>
    </row>
    <row r="14" spans="1:22" s="13" customFormat="1" ht="15" x14ac:dyDescent="0.2">
      <c r="A14" s="25"/>
      <c r="B14" s="78" t="s">
        <v>116</v>
      </c>
      <c r="C14" s="23" t="s">
        <v>17</v>
      </c>
      <c r="D14" s="24" t="s">
        <v>18</v>
      </c>
      <c r="E14" s="64">
        <v>387.36</v>
      </c>
      <c r="F14" s="64">
        <v>562.67999999999995</v>
      </c>
      <c r="G14" s="60">
        <v>387</v>
      </c>
      <c r="H14" s="60"/>
      <c r="I14" s="100">
        <v>391</v>
      </c>
      <c r="J14" s="100"/>
      <c r="K14" s="91">
        <v>369</v>
      </c>
      <c r="L14" s="91"/>
      <c r="M14" s="178">
        <v>372.69</v>
      </c>
      <c r="N14" s="178"/>
      <c r="O14" s="115">
        <v>436.8</v>
      </c>
      <c r="P14" s="127"/>
      <c r="Q14" s="127">
        <f t="shared" ref="Q14:Q22" si="1">O14-P14</f>
        <v>436.8</v>
      </c>
      <c r="R14" s="127">
        <v>0</v>
      </c>
      <c r="S14" s="120"/>
      <c r="T14" s="161">
        <f>T13*0.1</f>
        <v>441.16800000000006</v>
      </c>
      <c r="U14" s="161" t="s">
        <v>181</v>
      </c>
      <c r="V14" s="160">
        <f t="shared" ref="V14:V51" si="2">P14+R14-T14</f>
        <v>-441.16800000000006</v>
      </c>
    </row>
    <row r="15" spans="1:22" ht="15" x14ac:dyDescent="0.2">
      <c r="A15" s="26"/>
      <c r="B15" s="78" t="s">
        <v>116</v>
      </c>
      <c r="C15" s="23" t="s">
        <v>19</v>
      </c>
      <c r="D15" s="12" t="s">
        <v>20</v>
      </c>
      <c r="E15" s="65">
        <v>1430.4</v>
      </c>
      <c r="F15" s="65">
        <v>1043.7499999999998</v>
      </c>
      <c r="G15" s="61">
        <v>1549</v>
      </c>
      <c r="H15" s="61">
        <v>1162.0799999999997</v>
      </c>
      <c r="I15" s="98">
        <v>1565</v>
      </c>
      <c r="J15" s="98">
        <v>1549.4399999999994</v>
      </c>
      <c r="K15" s="91">
        <v>1581</v>
      </c>
      <c r="L15" s="91">
        <v>1581.12</v>
      </c>
      <c r="M15" s="178">
        <v>1596.81</v>
      </c>
      <c r="N15" s="178">
        <v>1596.9599999999998</v>
      </c>
      <c r="O15" s="115">
        <v>1872</v>
      </c>
      <c r="P15" s="127">
        <v>1248</v>
      </c>
      <c r="Q15" s="127">
        <f t="shared" si="1"/>
        <v>624</v>
      </c>
      <c r="R15" s="127">
        <f t="shared" ref="R15" si="3">O15/12*4</f>
        <v>624</v>
      </c>
      <c r="S15" s="120"/>
      <c r="T15" s="161">
        <f>12*12*13*1.01</f>
        <v>1890.72</v>
      </c>
      <c r="U15" s="161" t="s">
        <v>177</v>
      </c>
      <c r="V15" s="160">
        <f t="shared" si="2"/>
        <v>-18.720000000000027</v>
      </c>
    </row>
    <row r="16" spans="1:22" ht="30" x14ac:dyDescent="0.2">
      <c r="A16" s="26"/>
      <c r="B16" s="78"/>
      <c r="C16" s="188" t="s">
        <v>178</v>
      </c>
      <c r="D16" s="189" t="s">
        <v>179</v>
      </c>
      <c r="E16" s="190"/>
      <c r="F16" s="190"/>
      <c r="G16" s="191"/>
      <c r="H16" s="191"/>
      <c r="I16" s="192"/>
      <c r="J16" s="192"/>
      <c r="K16" s="193"/>
      <c r="L16" s="193"/>
      <c r="M16" s="194"/>
      <c r="N16" s="194"/>
      <c r="O16" s="195"/>
      <c r="P16" s="195"/>
      <c r="Q16" s="195"/>
      <c r="R16" s="195"/>
      <c r="S16" s="196"/>
      <c r="T16" s="184">
        <f>(SUM(T13:T15)-5000)*0.15</f>
        <v>261.53520000000003</v>
      </c>
      <c r="U16" s="184" t="s">
        <v>180</v>
      </c>
      <c r="V16" s="160">
        <f t="shared" si="2"/>
        <v>-261.53520000000003</v>
      </c>
    </row>
    <row r="17" spans="1:22" ht="15" x14ac:dyDescent="0.2">
      <c r="A17" s="26"/>
      <c r="B17" s="78" t="s">
        <v>116</v>
      </c>
      <c r="C17" s="23" t="s">
        <v>21</v>
      </c>
      <c r="D17" s="24" t="s">
        <v>22</v>
      </c>
      <c r="E17" s="64">
        <v>600</v>
      </c>
      <c r="F17" s="64">
        <v>393.03000000000003</v>
      </c>
      <c r="G17" s="60">
        <v>450</v>
      </c>
      <c r="H17" s="60">
        <v>363.49</v>
      </c>
      <c r="I17" s="100">
        <v>450</v>
      </c>
      <c r="J17" s="100">
        <v>238.23999999999995</v>
      </c>
      <c r="K17" s="91">
        <v>450</v>
      </c>
      <c r="L17" s="91">
        <v>514.1</v>
      </c>
      <c r="M17" s="178">
        <v>500</v>
      </c>
      <c r="N17" s="178">
        <v>349.76999999999992</v>
      </c>
      <c r="O17" s="115">
        <v>500</v>
      </c>
      <c r="P17" s="127">
        <v>165.62</v>
      </c>
      <c r="Q17" s="127">
        <f t="shared" si="1"/>
        <v>334.38</v>
      </c>
      <c r="R17" s="127">
        <f>O17/12*4</f>
        <v>166.66666666666666</v>
      </c>
      <c r="S17" s="120"/>
      <c r="T17" s="161">
        <v>500</v>
      </c>
      <c r="U17" s="161"/>
      <c r="V17" s="160">
        <f t="shared" si="2"/>
        <v>-167.71333333333337</v>
      </c>
    </row>
    <row r="18" spans="1:22" ht="15" x14ac:dyDescent="0.2">
      <c r="A18" s="26"/>
      <c r="B18" s="78" t="s">
        <v>117</v>
      </c>
      <c r="C18" s="23" t="s">
        <v>23</v>
      </c>
      <c r="D18" s="24" t="s">
        <v>83</v>
      </c>
      <c r="E18" s="64">
        <v>0</v>
      </c>
      <c r="F18" s="64">
        <v>35</v>
      </c>
      <c r="G18" s="60">
        <v>35</v>
      </c>
      <c r="H18" s="60">
        <v>35</v>
      </c>
      <c r="I18" s="100">
        <v>35</v>
      </c>
      <c r="J18" s="100">
        <v>35</v>
      </c>
      <c r="K18" s="91">
        <v>35</v>
      </c>
      <c r="L18" s="91">
        <v>35</v>
      </c>
      <c r="M18" s="178">
        <v>35</v>
      </c>
      <c r="N18" s="178">
        <v>35</v>
      </c>
      <c r="O18" s="115">
        <v>38.5</v>
      </c>
      <c r="P18" s="127">
        <v>35</v>
      </c>
      <c r="Q18" s="127">
        <f t="shared" si="1"/>
        <v>3.5</v>
      </c>
      <c r="R18" s="127">
        <f t="shared" ref="R18:R21" si="4">O18/12*5</f>
        <v>16.041666666666668</v>
      </c>
      <c r="S18" s="115"/>
      <c r="T18" s="160">
        <f>P18*1.1</f>
        <v>38.5</v>
      </c>
      <c r="U18" s="160" t="s">
        <v>135</v>
      </c>
      <c r="V18" s="160">
        <f t="shared" si="2"/>
        <v>12.541666666666671</v>
      </c>
    </row>
    <row r="19" spans="1:22" ht="60" x14ac:dyDescent="0.2">
      <c r="A19" s="26"/>
      <c r="B19" s="78" t="s">
        <v>117</v>
      </c>
      <c r="C19" s="23" t="s">
        <v>25</v>
      </c>
      <c r="D19" s="24" t="s">
        <v>24</v>
      </c>
      <c r="E19" s="64">
        <v>500</v>
      </c>
      <c r="F19" s="64">
        <v>505.95</v>
      </c>
      <c r="G19" s="60">
        <v>520</v>
      </c>
      <c r="H19" s="60">
        <v>512.19000000000005</v>
      </c>
      <c r="I19" s="100">
        <v>530</v>
      </c>
      <c r="J19" s="100">
        <v>589.28</v>
      </c>
      <c r="K19" s="91">
        <v>590</v>
      </c>
      <c r="L19" s="91">
        <v>827.31999999999994</v>
      </c>
      <c r="M19" s="178">
        <v>650</v>
      </c>
      <c r="N19" s="178">
        <v>842.96</v>
      </c>
      <c r="O19" s="115">
        <v>875</v>
      </c>
      <c r="P19" s="127"/>
      <c r="Q19" s="127">
        <f t="shared" si="1"/>
        <v>875</v>
      </c>
      <c r="R19" s="127">
        <v>875</v>
      </c>
      <c r="S19" s="120"/>
      <c r="T19" s="160">
        <v>900</v>
      </c>
      <c r="U19" s="161" t="s">
        <v>159</v>
      </c>
      <c r="V19" s="160">
        <f t="shared" si="2"/>
        <v>-25</v>
      </c>
    </row>
    <row r="20" spans="1:22" ht="15" x14ac:dyDescent="0.2">
      <c r="A20" s="26"/>
      <c r="B20" s="78" t="s">
        <v>117</v>
      </c>
      <c r="C20" s="23" t="s">
        <v>27</v>
      </c>
      <c r="D20" s="24" t="s">
        <v>26</v>
      </c>
      <c r="E20" s="64">
        <v>200</v>
      </c>
      <c r="F20" s="64">
        <v>200</v>
      </c>
      <c r="G20" s="60">
        <v>550</v>
      </c>
      <c r="H20" s="60">
        <v>560</v>
      </c>
      <c r="I20" s="100">
        <v>560</v>
      </c>
      <c r="J20" s="100">
        <v>575</v>
      </c>
      <c r="K20" s="91">
        <v>575</v>
      </c>
      <c r="L20" s="91">
        <v>365</v>
      </c>
      <c r="M20" s="178">
        <v>400</v>
      </c>
      <c r="N20" s="178">
        <v>525</v>
      </c>
      <c r="O20" s="115">
        <v>577.5</v>
      </c>
      <c r="P20" s="127">
        <v>453.75</v>
      </c>
      <c r="Q20" s="127">
        <f t="shared" si="1"/>
        <v>123.75</v>
      </c>
      <c r="R20" s="127">
        <v>0</v>
      </c>
      <c r="S20" s="120"/>
      <c r="T20" s="160">
        <f>P20*1.1</f>
        <v>499.12500000000006</v>
      </c>
      <c r="U20" s="160" t="s">
        <v>135</v>
      </c>
      <c r="V20" s="160">
        <f t="shared" si="2"/>
        <v>-45.375000000000057</v>
      </c>
    </row>
    <row r="21" spans="1:22" ht="45" x14ac:dyDescent="0.2">
      <c r="A21" s="26"/>
      <c r="B21" s="78" t="s">
        <v>117</v>
      </c>
      <c r="C21" s="23" t="s">
        <v>29</v>
      </c>
      <c r="D21" s="24" t="s">
        <v>28</v>
      </c>
      <c r="E21" s="64">
        <v>60</v>
      </c>
      <c r="F21" s="64">
        <v>0</v>
      </c>
      <c r="G21" s="60">
        <v>100</v>
      </c>
      <c r="H21" s="60"/>
      <c r="I21" s="100">
        <v>0</v>
      </c>
      <c r="J21" s="100"/>
      <c r="K21" s="91">
        <v>100</v>
      </c>
      <c r="L21" s="91"/>
      <c r="M21" s="178">
        <v>0</v>
      </c>
      <c r="N21" s="178"/>
      <c r="O21" s="115">
        <v>0</v>
      </c>
      <c r="P21" s="127"/>
      <c r="Q21" s="127">
        <f t="shared" si="1"/>
        <v>0</v>
      </c>
      <c r="R21" s="127">
        <f t="shared" si="4"/>
        <v>0</v>
      </c>
      <c r="S21" s="115"/>
      <c r="T21" s="160">
        <v>75</v>
      </c>
      <c r="U21" s="184" t="s">
        <v>169</v>
      </c>
      <c r="V21" s="160">
        <f t="shared" si="2"/>
        <v>-75</v>
      </c>
    </row>
    <row r="22" spans="1:22" ht="15" x14ac:dyDescent="0.2">
      <c r="A22" s="22"/>
      <c r="B22" s="78" t="s">
        <v>117</v>
      </c>
      <c r="C22" s="23" t="s">
        <v>97</v>
      </c>
      <c r="D22" s="24" t="s">
        <v>30</v>
      </c>
      <c r="E22" s="64">
        <v>450</v>
      </c>
      <c r="F22" s="64">
        <v>880</v>
      </c>
      <c r="G22" s="60">
        <v>450</v>
      </c>
      <c r="H22" s="60">
        <v>120</v>
      </c>
      <c r="I22" s="100">
        <v>450</v>
      </c>
      <c r="J22" s="100">
        <v>140</v>
      </c>
      <c r="K22" s="91">
        <v>350</v>
      </c>
      <c r="L22" s="91">
        <v>200.36</v>
      </c>
      <c r="M22" s="178">
        <v>250</v>
      </c>
      <c r="N22" s="178">
        <v>190.36</v>
      </c>
      <c r="O22" s="115">
        <v>250</v>
      </c>
      <c r="P22" s="127"/>
      <c r="Q22" s="127">
        <f t="shared" si="1"/>
        <v>250</v>
      </c>
      <c r="R22" s="127">
        <f>O22/12*4</f>
        <v>83.333333333333329</v>
      </c>
      <c r="S22" s="115"/>
      <c r="T22" s="160">
        <v>250</v>
      </c>
      <c r="U22" s="161" t="s">
        <v>158</v>
      </c>
      <c r="V22" s="160">
        <f t="shared" si="2"/>
        <v>-166.66666666666669</v>
      </c>
    </row>
    <row r="23" spans="1:22" ht="15" x14ac:dyDescent="0.2">
      <c r="A23" s="22" t="s">
        <v>49</v>
      </c>
      <c r="B23" s="78" t="s">
        <v>49</v>
      </c>
      <c r="C23" s="23" t="s">
        <v>50</v>
      </c>
      <c r="D23" s="24" t="s">
        <v>51</v>
      </c>
      <c r="E23" s="64">
        <v>325</v>
      </c>
      <c r="F23" s="64">
        <v>325</v>
      </c>
      <c r="G23" s="60">
        <v>325</v>
      </c>
      <c r="H23" s="60">
        <v>325</v>
      </c>
      <c r="I23" s="100">
        <v>340</v>
      </c>
      <c r="J23" s="100"/>
      <c r="K23" s="91">
        <v>350</v>
      </c>
      <c r="L23" s="91">
        <v>800</v>
      </c>
      <c r="M23" s="178">
        <v>400</v>
      </c>
      <c r="N23" s="178">
        <v>400</v>
      </c>
      <c r="O23" s="115">
        <v>400</v>
      </c>
      <c r="P23" s="127">
        <v>400</v>
      </c>
      <c r="Q23" s="127">
        <f t="shared" ref="Q23:Q51" si="5">O23-P23-R23</f>
        <v>0</v>
      </c>
      <c r="R23" s="127">
        <v>0</v>
      </c>
      <c r="S23" s="115"/>
      <c r="T23" s="160">
        <v>400</v>
      </c>
      <c r="U23" s="160"/>
      <c r="V23" s="160">
        <f t="shared" si="2"/>
        <v>0</v>
      </c>
    </row>
    <row r="24" spans="1:22" ht="30" x14ac:dyDescent="0.2">
      <c r="A24" s="26"/>
      <c r="B24" s="78" t="s">
        <v>49</v>
      </c>
      <c r="C24" s="23" t="s">
        <v>52</v>
      </c>
      <c r="D24" s="24" t="s">
        <v>171</v>
      </c>
      <c r="E24" s="64">
        <v>140</v>
      </c>
      <c r="F24" s="64">
        <v>113.03</v>
      </c>
      <c r="G24" s="60">
        <v>140</v>
      </c>
      <c r="H24" s="60">
        <v>120.59</v>
      </c>
      <c r="I24" s="100">
        <v>115</v>
      </c>
      <c r="J24" s="100">
        <v>80.849999999999994</v>
      </c>
      <c r="K24" s="91">
        <v>140</v>
      </c>
      <c r="L24" s="91">
        <v>274.5</v>
      </c>
      <c r="M24" s="178">
        <v>140</v>
      </c>
      <c r="N24" s="178">
        <v>236.32</v>
      </c>
      <c r="O24" s="115">
        <v>310.21466666666669</v>
      </c>
      <c r="P24" s="127">
        <v>263.42</v>
      </c>
      <c r="Q24" s="127">
        <f t="shared" si="5"/>
        <v>-28.205333333333328</v>
      </c>
      <c r="R24" s="127">
        <v>75</v>
      </c>
      <c r="S24" s="115" t="s">
        <v>156</v>
      </c>
      <c r="T24" s="160">
        <f>(P24+R24)*1.1</f>
        <v>372.26200000000006</v>
      </c>
      <c r="U24" s="160"/>
      <c r="V24" s="160">
        <f t="shared" si="2"/>
        <v>-33.842000000000041</v>
      </c>
    </row>
    <row r="25" spans="1:22" ht="15" hidden="1" x14ac:dyDescent="0.2">
      <c r="A25" s="29"/>
      <c r="B25" s="78" t="s">
        <v>49</v>
      </c>
      <c r="C25" s="10" t="s">
        <v>53</v>
      </c>
      <c r="D25" s="24" t="s">
        <v>54</v>
      </c>
      <c r="E25" s="64">
        <v>100</v>
      </c>
      <c r="F25" s="64">
        <v>0</v>
      </c>
      <c r="G25" s="60">
        <v>200</v>
      </c>
      <c r="H25" s="60">
        <v>0</v>
      </c>
      <c r="I25" s="100">
        <v>0</v>
      </c>
      <c r="J25" s="100"/>
      <c r="K25" s="91">
        <v>0</v>
      </c>
      <c r="L25" s="91"/>
      <c r="M25" s="178">
        <v>0</v>
      </c>
      <c r="N25" s="178"/>
      <c r="O25" s="115"/>
      <c r="P25" s="127"/>
      <c r="Q25" s="127">
        <f t="shared" si="5"/>
        <v>0</v>
      </c>
      <c r="R25" s="127">
        <v>0</v>
      </c>
      <c r="S25" s="115"/>
      <c r="T25" s="160">
        <v>0</v>
      </c>
      <c r="U25" s="160" t="s">
        <v>139</v>
      </c>
      <c r="V25" s="160">
        <f t="shared" si="2"/>
        <v>0</v>
      </c>
    </row>
    <row r="26" spans="1:22" ht="15" hidden="1" x14ac:dyDescent="0.2">
      <c r="A26" s="29"/>
      <c r="B26" s="78" t="s">
        <v>49</v>
      </c>
      <c r="C26" s="10" t="s">
        <v>55</v>
      </c>
      <c r="D26" s="24" t="s">
        <v>56</v>
      </c>
      <c r="E26" s="64">
        <v>100</v>
      </c>
      <c r="F26" s="64">
        <v>125.41000000000001</v>
      </c>
      <c r="G26" s="60">
        <v>0</v>
      </c>
      <c r="H26" s="60">
        <v>0</v>
      </c>
      <c r="I26" s="100">
        <v>0</v>
      </c>
      <c r="J26" s="100"/>
      <c r="K26" s="91">
        <v>0</v>
      </c>
      <c r="L26" s="91">
        <v>50</v>
      </c>
      <c r="M26" s="178">
        <v>0</v>
      </c>
      <c r="N26" s="178"/>
      <c r="O26" s="115"/>
      <c r="P26" s="127"/>
      <c r="Q26" s="127">
        <f t="shared" si="5"/>
        <v>0</v>
      </c>
      <c r="R26" s="127">
        <v>0</v>
      </c>
      <c r="S26" s="115"/>
      <c r="T26" s="160">
        <v>0</v>
      </c>
      <c r="U26" s="160" t="s">
        <v>139</v>
      </c>
      <c r="V26" s="160">
        <f t="shared" si="2"/>
        <v>0</v>
      </c>
    </row>
    <row r="27" spans="1:22" s="13" customFormat="1" ht="30" x14ac:dyDescent="0.2">
      <c r="A27" s="27" t="s">
        <v>40</v>
      </c>
      <c r="B27" s="77" t="s">
        <v>118</v>
      </c>
      <c r="C27" s="28" t="s">
        <v>41</v>
      </c>
      <c r="D27" s="48" t="s">
        <v>84</v>
      </c>
      <c r="E27" s="64">
        <v>650</v>
      </c>
      <c r="F27" s="64">
        <v>705</v>
      </c>
      <c r="G27" s="61">
        <v>650</v>
      </c>
      <c r="H27" s="61">
        <v>530</v>
      </c>
      <c r="I27" s="98">
        <v>690</v>
      </c>
      <c r="J27" s="98">
        <v>655</v>
      </c>
      <c r="K27" s="91">
        <v>555</v>
      </c>
      <c r="L27" s="91">
        <v>530</v>
      </c>
      <c r="M27" s="178">
        <v>660</v>
      </c>
      <c r="N27" s="178">
        <v>655</v>
      </c>
      <c r="O27" s="115">
        <v>583</v>
      </c>
      <c r="P27" s="127">
        <v>530</v>
      </c>
      <c r="Q27" s="127">
        <f t="shared" si="5"/>
        <v>53</v>
      </c>
      <c r="R27" s="127">
        <v>0</v>
      </c>
      <c r="S27" s="120"/>
      <c r="T27" s="161">
        <f>530*1.1</f>
        <v>583</v>
      </c>
      <c r="U27" s="161" t="s">
        <v>136</v>
      </c>
      <c r="V27" s="160">
        <f t="shared" si="2"/>
        <v>-53</v>
      </c>
    </row>
    <row r="28" spans="1:22" ht="15" x14ac:dyDescent="0.2">
      <c r="A28" s="25"/>
      <c r="B28" s="77" t="s">
        <v>118</v>
      </c>
      <c r="C28" s="28" t="s">
        <v>42</v>
      </c>
      <c r="D28" s="12" t="s">
        <v>43</v>
      </c>
      <c r="E28" s="65">
        <v>1500</v>
      </c>
      <c r="F28" s="65">
        <v>292.5</v>
      </c>
      <c r="G28" s="61">
        <v>250</v>
      </c>
      <c r="H28" s="61">
        <v>0</v>
      </c>
      <c r="I28" s="98">
        <v>500</v>
      </c>
      <c r="J28" s="98"/>
      <c r="K28" s="91">
        <v>250</v>
      </c>
      <c r="L28" s="91">
        <v>12.6</v>
      </c>
      <c r="M28" s="178">
        <v>250</v>
      </c>
      <c r="N28" s="178">
        <v>380.85</v>
      </c>
      <c r="O28" s="115">
        <v>0</v>
      </c>
      <c r="P28" s="127"/>
      <c r="Q28" s="127">
        <f t="shared" si="5"/>
        <v>0</v>
      </c>
      <c r="R28" s="127">
        <v>0</v>
      </c>
      <c r="S28" s="115"/>
      <c r="T28" s="160">
        <v>0</v>
      </c>
      <c r="U28" s="160" t="s">
        <v>137</v>
      </c>
      <c r="V28" s="160">
        <f t="shared" si="2"/>
        <v>0</v>
      </c>
    </row>
    <row r="29" spans="1:22" ht="45" x14ac:dyDescent="0.2">
      <c r="A29" s="32"/>
      <c r="B29" s="77" t="s">
        <v>119</v>
      </c>
      <c r="C29" s="10" t="s">
        <v>82</v>
      </c>
      <c r="D29" s="24" t="s">
        <v>103</v>
      </c>
      <c r="E29" s="65"/>
      <c r="F29" s="65"/>
      <c r="G29" s="60">
        <v>0</v>
      </c>
      <c r="H29" s="60">
        <v>1625.8</v>
      </c>
      <c r="I29" s="100">
        <v>2000</v>
      </c>
      <c r="J29" s="100">
        <v>800</v>
      </c>
      <c r="K29" s="91">
        <v>1000</v>
      </c>
      <c r="L29" s="91">
        <v>693.76</v>
      </c>
      <c r="M29" s="178">
        <v>750</v>
      </c>
      <c r="N29" s="178">
        <v>1097.98</v>
      </c>
      <c r="O29" s="115">
        <v>1172</v>
      </c>
      <c r="P29" s="127">
        <v>611.6</v>
      </c>
      <c r="Q29" s="127">
        <f t="shared" si="5"/>
        <v>-39.600000000000023</v>
      </c>
      <c r="R29" s="127">
        <v>600</v>
      </c>
      <c r="S29" s="120" t="s">
        <v>172</v>
      </c>
      <c r="T29" s="160">
        <f>(P29+R29)*1.1</f>
        <v>1332.76</v>
      </c>
      <c r="U29" s="160" t="s">
        <v>135</v>
      </c>
      <c r="V29" s="160">
        <f t="shared" si="2"/>
        <v>-121.16000000000008</v>
      </c>
    </row>
    <row r="30" spans="1:22" ht="30" x14ac:dyDescent="0.2">
      <c r="A30" s="32"/>
      <c r="B30" s="77" t="s">
        <v>118</v>
      </c>
      <c r="C30" s="10" t="s">
        <v>89</v>
      </c>
      <c r="D30" s="24" t="s">
        <v>94</v>
      </c>
      <c r="E30" s="64"/>
      <c r="F30" s="64"/>
      <c r="G30" s="60">
        <v>0</v>
      </c>
      <c r="H30" s="60">
        <v>76.580000000000013</v>
      </c>
      <c r="I30" s="100">
        <v>115</v>
      </c>
      <c r="J30" s="100">
        <v>119.89999999999999</v>
      </c>
      <c r="K30" s="91">
        <v>120</v>
      </c>
      <c r="L30" s="91"/>
      <c r="M30" s="178">
        <v>0</v>
      </c>
      <c r="N30" s="178"/>
      <c r="O30" s="115">
        <v>0</v>
      </c>
      <c r="P30" s="127"/>
      <c r="Q30" s="127">
        <f t="shared" si="5"/>
        <v>0</v>
      </c>
      <c r="R30" s="127">
        <v>0</v>
      </c>
      <c r="S30" s="115"/>
      <c r="T30" s="160">
        <v>0</v>
      </c>
      <c r="U30" s="160"/>
      <c r="V30" s="160">
        <f t="shared" si="2"/>
        <v>0</v>
      </c>
    </row>
    <row r="31" spans="1:22" ht="30" x14ac:dyDescent="0.2">
      <c r="A31" s="32"/>
      <c r="B31" s="77" t="s">
        <v>119</v>
      </c>
      <c r="C31" s="10" t="s">
        <v>93</v>
      </c>
      <c r="D31" s="24" t="s">
        <v>98</v>
      </c>
      <c r="E31" s="64"/>
      <c r="F31" s="64"/>
      <c r="G31" s="60">
        <v>0</v>
      </c>
      <c r="H31" s="60">
        <v>280.2</v>
      </c>
      <c r="I31" s="100">
        <v>1000</v>
      </c>
      <c r="J31" s="100">
        <v>425.41999999999996</v>
      </c>
      <c r="K31" s="91">
        <v>300</v>
      </c>
      <c r="L31" s="91">
        <v>160.82999999999998</v>
      </c>
      <c r="M31" s="178"/>
      <c r="N31" s="178">
        <v>261.73</v>
      </c>
      <c r="O31" s="115">
        <v>300</v>
      </c>
      <c r="P31" s="127">
        <v>349.81</v>
      </c>
      <c r="Q31" s="127">
        <f t="shared" si="5"/>
        <v>-49.81</v>
      </c>
      <c r="R31" s="127">
        <v>0</v>
      </c>
      <c r="S31" s="120" t="s">
        <v>157</v>
      </c>
      <c r="T31" s="160">
        <f>(P31+R31)*1.1</f>
        <v>384.79100000000005</v>
      </c>
      <c r="U31" s="161" t="s">
        <v>160</v>
      </c>
      <c r="V31" s="160">
        <f t="shared" si="2"/>
        <v>-34.981000000000051</v>
      </c>
    </row>
    <row r="32" spans="1:22" s="30" customFormat="1" ht="30" x14ac:dyDescent="0.2">
      <c r="A32" s="32"/>
      <c r="B32" s="77" t="s">
        <v>119</v>
      </c>
      <c r="C32" s="10" t="s">
        <v>95</v>
      </c>
      <c r="D32" s="24" t="s">
        <v>96</v>
      </c>
      <c r="E32" s="64"/>
      <c r="F32" s="64"/>
      <c r="G32" s="60">
        <v>0</v>
      </c>
      <c r="H32" s="60">
        <v>0</v>
      </c>
      <c r="I32" s="100">
        <v>500</v>
      </c>
      <c r="J32" s="100">
        <v>150</v>
      </c>
      <c r="K32" s="91">
        <v>500</v>
      </c>
      <c r="L32" s="91">
        <v>1574.0700000000004</v>
      </c>
      <c r="M32" s="178">
        <v>1000</v>
      </c>
      <c r="N32" s="178">
        <v>813.85</v>
      </c>
      <c r="O32" s="115">
        <v>900</v>
      </c>
      <c r="P32" s="127">
        <v>447.19</v>
      </c>
      <c r="Q32" s="127">
        <f t="shared" si="5"/>
        <v>452.81</v>
      </c>
      <c r="R32" s="127">
        <v>0</v>
      </c>
      <c r="S32" s="120" t="s">
        <v>173</v>
      </c>
      <c r="T32" s="161">
        <f>O32*1.1</f>
        <v>990.00000000000011</v>
      </c>
      <c r="U32" s="160" t="s">
        <v>135</v>
      </c>
      <c r="V32" s="160">
        <f t="shared" si="2"/>
        <v>-542.81000000000017</v>
      </c>
    </row>
    <row r="33" spans="1:22" s="30" customFormat="1" ht="30" x14ac:dyDescent="0.2">
      <c r="A33" s="32"/>
      <c r="B33" s="77" t="s">
        <v>119</v>
      </c>
      <c r="C33" s="10" t="s">
        <v>152</v>
      </c>
      <c r="D33" s="24" t="s">
        <v>153</v>
      </c>
      <c r="E33" s="64"/>
      <c r="F33" s="64"/>
      <c r="G33" s="60"/>
      <c r="H33" s="60"/>
      <c r="I33" s="100"/>
      <c r="J33" s="100"/>
      <c r="K33" s="91"/>
      <c r="L33" s="91"/>
      <c r="M33" s="178"/>
      <c r="N33" s="178"/>
      <c r="O33" s="115">
        <v>600</v>
      </c>
      <c r="P33" s="127">
        <v>389.64</v>
      </c>
      <c r="Q33" s="127">
        <f t="shared" si="5"/>
        <v>10.360000000000014</v>
      </c>
      <c r="R33" s="127">
        <v>200</v>
      </c>
      <c r="S33" s="120" t="s">
        <v>186</v>
      </c>
      <c r="T33" s="161">
        <f>O33*1.1</f>
        <v>660</v>
      </c>
      <c r="U33" s="160" t="s">
        <v>135</v>
      </c>
      <c r="V33" s="160">
        <f t="shared" si="2"/>
        <v>-70.360000000000014</v>
      </c>
    </row>
    <row r="34" spans="1:22" s="30" customFormat="1" ht="45" x14ac:dyDescent="0.2">
      <c r="A34" s="22" t="s">
        <v>57</v>
      </c>
      <c r="B34" s="78" t="s">
        <v>120</v>
      </c>
      <c r="C34" s="10" t="s">
        <v>58</v>
      </c>
      <c r="D34" s="24" t="s">
        <v>86</v>
      </c>
      <c r="E34" s="64">
        <v>4750</v>
      </c>
      <c r="F34" s="64">
        <v>5350</v>
      </c>
      <c r="G34" s="60">
        <v>6000</v>
      </c>
      <c r="H34" s="60">
        <v>4330</v>
      </c>
      <c r="I34" s="100">
        <v>7000</v>
      </c>
      <c r="J34" s="100">
        <v>4830</v>
      </c>
      <c r="K34" s="91">
        <v>7000</v>
      </c>
      <c r="L34" s="91">
        <v>3261.44</v>
      </c>
      <c r="M34" s="178">
        <v>7000</v>
      </c>
      <c r="N34" s="178">
        <v>3522</v>
      </c>
      <c r="O34" s="115">
        <v>5000</v>
      </c>
      <c r="P34" s="127">
        <v>5413.76</v>
      </c>
      <c r="Q34" s="127">
        <f t="shared" si="5"/>
        <v>-793.76000000000022</v>
      </c>
      <c r="R34" s="127">
        <v>380</v>
      </c>
      <c r="S34" s="115"/>
      <c r="T34" s="160">
        <f>O34*1.2</f>
        <v>6000</v>
      </c>
      <c r="U34" s="161" t="s">
        <v>161</v>
      </c>
      <c r="V34" s="160">
        <f t="shared" si="2"/>
        <v>-206.23999999999978</v>
      </c>
    </row>
    <row r="35" spans="1:22" s="30" customFormat="1" ht="30" x14ac:dyDescent="0.2">
      <c r="A35" s="25" t="s">
        <v>87</v>
      </c>
      <c r="B35" s="78" t="s">
        <v>120</v>
      </c>
      <c r="C35" s="10" t="s">
        <v>59</v>
      </c>
      <c r="D35" s="24" t="s">
        <v>99</v>
      </c>
      <c r="E35" s="64"/>
      <c r="F35" s="64"/>
      <c r="G35" s="60">
        <v>0</v>
      </c>
      <c r="H35" s="60">
        <v>0</v>
      </c>
      <c r="I35" s="100">
        <v>750</v>
      </c>
      <c r="J35" s="100">
        <v>450</v>
      </c>
      <c r="K35" s="91">
        <v>750</v>
      </c>
      <c r="L35" s="91"/>
      <c r="M35" s="178">
        <v>750</v>
      </c>
      <c r="N35" s="178"/>
      <c r="O35" s="115">
        <v>0</v>
      </c>
      <c r="P35" s="127"/>
      <c r="Q35" s="127">
        <f t="shared" si="5"/>
        <v>0</v>
      </c>
      <c r="R35" s="127">
        <v>0</v>
      </c>
      <c r="S35" s="115"/>
      <c r="T35" s="160">
        <v>0</v>
      </c>
      <c r="U35" s="161" t="s">
        <v>140</v>
      </c>
      <c r="V35" s="160">
        <f t="shared" si="2"/>
        <v>0</v>
      </c>
    </row>
    <row r="36" spans="1:22" s="30" customFormat="1" ht="15" x14ac:dyDescent="0.2">
      <c r="A36" s="31" t="s">
        <v>88</v>
      </c>
      <c r="B36" s="78" t="s">
        <v>121</v>
      </c>
      <c r="C36" s="10" t="s">
        <v>60</v>
      </c>
      <c r="D36" s="24" t="s">
        <v>61</v>
      </c>
      <c r="E36" s="64">
        <v>165</v>
      </c>
      <c r="F36" s="64">
        <v>185</v>
      </c>
      <c r="G36" s="60">
        <v>205</v>
      </c>
      <c r="H36" s="60">
        <v>185</v>
      </c>
      <c r="I36" s="100">
        <v>400</v>
      </c>
      <c r="J36" s="100">
        <v>200</v>
      </c>
      <c r="K36" s="91">
        <v>250</v>
      </c>
      <c r="L36" s="91">
        <v>300</v>
      </c>
      <c r="M36" s="178">
        <v>300</v>
      </c>
      <c r="N36" s="178">
        <v>320</v>
      </c>
      <c r="O36" s="115">
        <v>330</v>
      </c>
      <c r="P36" s="127">
        <v>336</v>
      </c>
      <c r="Q36" s="127">
        <f t="shared" si="5"/>
        <v>-6</v>
      </c>
      <c r="R36" s="127">
        <v>0</v>
      </c>
      <c r="S36" s="115"/>
      <c r="T36" s="160">
        <f>O36*1.1</f>
        <v>363.00000000000006</v>
      </c>
      <c r="U36" s="160" t="s">
        <v>135</v>
      </c>
      <c r="V36" s="160">
        <f t="shared" si="2"/>
        <v>-27.000000000000057</v>
      </c>
    </row>
    <row r="37" spans="1:22" ht="15" x14ac:dyDescent="0.2">
      <c r="A37" s="26"/>
      <c r="B37" s="78" t="s">
        <v>121</v>
      </c>
      <c r="C37" s="10" t="s">
        <v>62</v>
      </c>
      <c r="D37" s="24" t="s">
        <v>63</v>
      </c>
      <c r="E37" s="64">
        <v>300</v>
      </c>
      <c r="F37" s="64">
        <v>300</v>
      </c>
      <c r="G37" s="60">
        <v>300</v>
      </c>
      <c r="H37" s="60">
        <v>2179</v>
      </c>
      <c r="I37" s="100">
        <v>300</v>
      </c>
      <c r="J37" s="100"/>
      <c r="K37" s="91">
        <v>300</v>
      </c>
      <c r="L37" s="91">
        <v>1050</v>
      </c>
      <c r="M37" s="178">
        <v>300</v>
      </c>
      <c r="N37" s="178"/>
      <c r="O37" s="115">
        <v>330</v>
      </c>
      <c r="P37" s="127"/>
      <c r="Q37" s="127">
        <f t="shared" si="5"/>
        <v>330</v>
      </c>
      <c r="R37" s="127">
        <v>0</v>
      </c>
      <c r="S37" s="115"/>
      <c r="T37" s="160">
        <f>O37*1.1</f>
        <v>363.00000000000006</v>
      </c>
      <c r="U37" s="160" t="s">
        <v>135</v>
      </c>
      <c r="V37" s="160">
        <f t="shared" si="2"/>
        <v>-363.00000000000006</v>
      </c>
    </row>
    <row r="38" spans="1:22" s="13" customFormat="1" ht="15" x14ac:dyDescent="0.2">
      <c r="A38" s="26"/>
      <c r="B38" s="78" t="s">
        <v>120</v>
      </c>
      <c r="C38" s="10" t="s">
        <v>64</v>
      </c>
      <c r="D38" s="24" t="s">
        <v>85</v>
      </c>
      <c r="E38" s="64"/>
      <c r="F38" s="64"/>
      <c r="G38" s="60">
        <v>1000</v>
      </c>
      <c r="H38" s="60">
        <v>0</v>
      </c>
      <c r="I38" s="100">
        <v>200</v>
      </c>
      <c r="J38" s="100"/>
      <c r="K38" s="91">
        <v>0</v>
      </c>
      <c r="L38" s="91"/>
      <c r="M38" s="178">
        <v>0</v>
      </c>
      <c r="N38" s="178"/>
      <c r="O38" s="115">
        <v>0</v>
      </c>
      <c r="P38" s="127"/>
      <c r="Q38" s="127">
        <f t="shared" si="5"/>
        <v>0</v>
      </c>
      <c r="R38" s="127">
        <v>0</v>
      </c>
      <c r="S38" s="115"/>
      <c r="T38" s="160">
        <v>0</v>
      </c>
      <c r="U38" s="160"/>
      <c r="V38" s="160">
        <f t="shared" si="2"/>
        <v>0</v>
      </c>
    </row>
    <row r="39" spans="1:22" ht="30" x14ac:dyDescent="0.2">
      <c r="A39" s="26"/>
      <c r="B39" s="78" t="s">
        <v>120</v>
      </c>
      <c r="C39" s="10" t="s">
        <v>65</v>
      </c>
      <c r="D39" s="24" t="s">
        <v>168</v>
      </c>
      <c r="E39" s="64">
        <v>500</v>
      </c>
      <c r="F39" s="64">
        <v>175</v>
      </c>
      <c r="G39" s="60">
        <v>1000</v>
      </c>
      <c r="H39" s="60">
        <v>2950</v>
      </c>
      <c r="I39" s="100">
        <v>1000</v>
      </c>
      <c r="J39" s="100"/>
      <c r="K39" s="91">
        <v>500</v>
      </c>
      <c r="L39" s="91">
        <v>1930</v>
      </c>
      <c r="M39" s="178">
        <v>1200</v>
      </c>
      <c r="N39" s="178">
        <v>1400</v>
      </c>
      <c r="O39" s="115">
        <v>1500</v>
      </c>
      <c r="P39" s="127">
        <v>1480</v>
      </c>
      <c r="Q39" s="127">
        <f t="shared" si="5"/>
        <v>20</v>
      </c>
      <c r="R39" s="127">
        <v>0</v>
      </c>
      <c r="S39" s="115"/>
      <c r="T39" s="160">
        <f>O39*1.1</f>
        <v>1650.0000000000002</v>
      </c>
      <c r="U39" s="161" t="s">
        <v>162</v>
      </c>
      <c r="V39" s="160">
        <f t="shared" si="2"/>
        <v>-170.00000000000023</v>
      </c>
    </row>
    <row r="40" spans="1:22" ht="15" x14ac:dyDescent="0.2">
      <c r="A40" s="26"/>
      <c r="B40" s="78" t="s">
        <v>120</v>
      </c>
      <c r="C40" s="10" t="s">
        <v>66</v>
      </c>
      <c r="D40" s="24" t="s">
        <v>174</v>
      </c>
      <c r="E40" s="64">
        <v>300</v>
      </c>
      <c r="F40" s="64">
        <v>255.95999999999998</v>
      </c>
      <c r="G40" s="60">
        <v>200</v>
      </c>
      <c r="H40" s="60">
        <v>0</v>
      </c>
      <c r="I40" s="100">
        <v>0</v>
      </c>
      <c r="J40" s="100"/>
      <c r="K40" s="91">
        <v>250</v>
      </c>
      <c r="L40" s="91">
        <v>168.56000000000003</v>
      </c>
      <c r="M40" s="178">
        <v>200</v>
      </c>
      <c r="N40" s="178"/>
      <c r="O40" s="115">
        <v>200</v>
      </c>
      <c r="P40" s="127">
        <v>38.4</v>
      </c>
      <c r="Q40" s="127">
        <f t="shared" si="5"/>
        <v>111.6</v>
      </c>
      <c r="R40" s="127">
        <v>50</v>
      </c>
      <c r="S40" s="115"/>
      <c r="T40" s="160">
        <v>200</v>
      </c>
      <c r="U40" s="160"/>
      <c r="V40" s="160">
        <f t="shared" si="2"/>
        <v>-111.6</v>
      </c>
    </row>
    <row r="41" spans="1:22" ht="15" x14ac:dyDescent="0.2">
      <c r="A41" s="25"/>
      <c r="B41" s="78" t="s">
        <v>120</v>
      </c>
      <c r="C41" s="10" t="s">
        <v>68</v>
      </c>
      <c r="D41" s="24" t="s">
        <v>67</v>
      </c>
      <c r="E41" s="64">
        <v>240</v>
      </c>
      <c r="F41" s="64">
        <v>278.60000000000002</v>
      </c>
      <c r="G41" s="60">
        <v>325</v>
      </c>
      <c r="H41" s="60">
        <v>297.44</v>
      </c>
      <c r="I41" s="100">
        <v>340</v>
      </c>
      <c r="J41" s="100">
        <v>301.60000000000002</v>
      </c>
      <c r="K41" s="91">
        <v>570</v>
      </c>
      <c r="L41" s="91">
        <v>324.48</v>
      </c>
      <c r="M41" s="178">
        <v>400</v>
      </c>
      <c r="N41" s="178">
        <v>370.23999999999995</v>
      </c>
      <c r="O41" s="115">
        <v>440.00000000000006</v>
      </c>
      <c r="P41" s="127"/>
      <c r="Q41" s="127">
        <f t="shared" si="5"/>
        <v>0</v>
      </c>
      <c r="R41" s="127">
        <v>440</v>
      </c>
      <c r="S41" s="115"/>
      <c r="T41" s="160">
        <f>O41*1.1</f>
        <v>484.00000000000011</v>
      </c>
      <c r="U41" s="160" t="s">
        <v>135</v>
      </c>
      <c r="V41" s="160">
        <f t="shared" si="2"/>
        <v>-44.000000000000114</v>
      </c>
    </row>
    <row r="42" spans="1:22" ht="30" x14ac:dyDescent="0.2">
      <c r="A42" s="32"/>
      <c r="B42" s="78" t="s">
        <v>120</v>
      </c>
      <c r="C42" s="10" t="s">
        <v>69</v>
      </c>
      <c r="D42" s="24" t="s">
        <v>100</v>
      </c>
      <c r="E42" s="64">
        <v>250</v>
      </c>
      <c r="F42" s="64">
        <v>631.62</v>
      </c>
      <c r="G42" s="60">
        <v>275</v>
      </c>
      <c r="H42" s="60">
        <v>191.99</v>
      </c>
      <c r="I42" s="100">
        <v>250</v>
      </c>
      <c r="J42" s="100">
        <v>115.95</v>
      </c>
      <c r="K42" s="91">
        <v>200</v>
      </c>
      <c r="L42" s="91">
        <v>266.96999999999997</v>
      </c>
      <c r="M42" s="178">
        <v>200</v>
      </c>
      <c r="N42" s="178">
        <v>519.71</v>
      </c>
      <c r="O42" s="115">
        <v>250</v>
      </c>
      <c r="P42" s="127">
        <v>79.44</v>
      </c>
      <c r="Q42" s="127">
        <f t="shared" si="5"/>
        <v>70.56</v>
      </c>
      <c r="R42" s="127">
        <v>100</v>
      </c>
      <c r="S42" s="115"/>
      <c r="T42" s="160">
        <v>250</v>
      </c>
      <c r="U42" s="161"/>
      <c r="V42" s="160">
        <f t="shared" si="2"/>
        <v>-70.56</v>
      </c>
    </row>
    <row r="43" spans="1:22" ht="15" x14ac:dyDescent="0.2">
      <c r="A43" s="32"/>
      <c r="B43" s="78" t="s">
        <v>120</v>
      </c>
      <c r="C43" s="10" t="s">
        <v>90</v>
      </c>
      <c r="D43" s="24" t="s">
        <v>92</v>
      </c>
      <c r="E43" s="64"/>
      <c r="F43" s="64"/>
      <c r="G43" s="60">
        <v>0</v>
      </c>
      <c r="H43" s="60">
        <v>196.33</v>
      </c>
      <c r="I43" s="100">
        <v>0</v>
      </c>
      <c r="J43" s="100"/>
      <c r="K43" s="91">
        <v>0</v>
      </c>
      <c r="L43" s="91"/>
      <c r="M43" s="178">
        <v>0</v>
      </c>
      <c r="N43" s="178"/>
      <c r="O43" s="115"/>
      <c r="P43" s="127"/>
      <c r="Q43" s="127">
        <f t="shared" si="5"/>
        <v>0</v>
      </c>
      <c r="R43" s="127">
        <v>0</v>
      </c>
      <c r="S43" s="115"/>
      <c r="T43" s="160"/>
      <c r="U43" s="160"/>
      <c r="V43" s="160">
        <f t="shared" si="2"/>
        <v>0</v>
      </c>
    </row>
    <row r="44" spans="1:22" s="13" customFormat="1" ht="45" x14ac:dyDescent="0.2">
      <c r="A44" s="32"/>
      <c r="B44" s="78" t="s">
        <v>123</v>
      </c>
      <c r="C44" s="10" t="s">
        <v>91</v>
      </c>
      <c r="D44" s="24" t="s">
        <v>101</v>
      </c>
      <c r="E44" s="64"/>
      <c r="F44" s="64"/>
      <c r="G44" s="60">
        <v>0</v>
      </c>
      <c r="H44" s="60">
        <v>450.4</v>
      </c>
      <c r="I44" s="100">
        <v>3000</v>
      </c>
      <c r="J44" s="100">
        <v>4370.66</v>
      </c>
      <c r="K44" s="91">
        <v>3000</v>
      </c>
      <c r="L44" s="91">
        <v>8952.3700000000008</v>
      </c>
      <c r="M44" s="178">
        <v>6000</v>
      </c>
      <c r="N44" s="178">
        <v>652.15</v>
      </c>
      <c r="O44" s="115">
        <v>5000</v>
      </c>
      <c r="P44" s="127">
        <v>1458</v>
      </c>
      <c r="Q44" s="127">
        <f t="shared" si="5"/>
        <v>1789</v>
      </c>
      <c r="R44" s="127">
        <v>1753</v>
      </c>
      <c r="S44" s="120" t="s">
        <v>187</v>
      </c>
      <c r="T44" s="161">
        <v>6000</v>
      </c>
      <c r="U44" s="161" t="s">
        <v>189</v>
      </c>
      <c r="V44" s="160">
        <f t="shared" si="2"/>
        <v>-2789</v>
      </c>
    </row>
    <row r="45" spans="1:22" ht="15" x14ac:dyDescent="0.2">
      <c r="A45" s="27" t="s">
        <v>38</v>
      </c>
      <c r="B45" s="78" t="s">
        <v>117</v>
      </c>
      <c r="C45" s="28" t="s">
        <v>39</v>
      </c>
      <c r="D45" s="12" t="s">
        <v>38</v>
      </c>
      <c r="E45" s="64">
        <v>10150</v>
      </c>
      <c r="F45" s="64">
        <v>7317.38</v>
      </c>
      <c r="G45" s="61">
        <v>0</v>
      </c>
      <c r="H45" s="61">
        <v>0</v>
      </c>
      <c r="I45" s="98">
        <v>0</v>
      </c>
      <c r="J45" s="98"/>
      <c r="K45" s="91">
        <v>0</v>
      </c>
      <c r="L45" s="91"/>
      <c r="M45" s="178">
        <v>0</v>
      </c>
      <c r="N45" s="178"/>
      <c r="O45" s="115">
        <v>0</v>
      </c>
      <c r="P45" s="127"/>
      <c r="Q45" s="127">
        <f t="shared" si="5"/>
        <v>0</v>
      </c>
      <c r="R45" s="127">
        <v>0</v>
      </c>
      <c r="S45" s="115"/>
      <c r="T45" s="160">
        <v>0</v>
      </c>
      <c r="U45" s="160"/>
      <c r="V45" s="160">
        <f t="shared" si="2"/>
        <v>0</v>
      </c>
    </row>
    <row r="46" spans="1:22" ht="15" x14ac:dyDescent="0.2">
      <c r="A46" s="22" t="s">
        <v>44</v>
      </c>
      <c r="B46" s="78" t="s">
        <v>117</v>
      </c>
      <c r="C46" s="23" t="s">
        <v>45</v>
      </c>
      <c r="D46" s="24" t="s">
        <v>46</v>
      </c>
      <c r="E46" s="65">
        <v>1406</v>
      </c>
      <c r="F46" s="65">
        <v>1358.04</v>
      </c>
      <c r="G46" s="60">
        <v>658</v>
      </c>
      <c r="H46" s="60">
        <v>657.24</v>
      </c>
      <c r="I46" s="100">
        <v>0</v>
      </c>
      <c r="J46" s="100"/>
      <c r="K46" s="91">
        <v>0</v>
      </c>
      <c r="L46" s="91"/>
      <c r="M46" s="178">
        <v>0</v>
      </c>
      <c r="N46" s="178"/>
      <c r="O46" s="115">
        <v>0</v>
      </c>
      <c r="P46" s="127"/>
      <c r="Q46" s="127">
        <f t="shared" si="5"/>
        <v>0</v>
      </c>
      <c r="R46" s="127">
        <v>0</v>
      </c>
      <c r="S46" s="115"/>
      <c r="T46" s="160">
        <v>0</v>
      </c>
      <c r="U46" s="160"/>
      <c r="V46" s="160">
        <f t="shared" si="2"/>
        <v>0</v>
      </c>
    </row>
    <row r="47" spans="1:22" ht="15" x14ac:dyDescent="0.2">
      <c r="A47" s="26"/>
      <c r="B47" s="78" t="s">
        <v>117</v>
      </c>
      <c r="C47" s="23" t="s">
        <v>47</v>
      </c>
      <c r="D47" s="24" t="s">
        <v>48</v>
      </c>
      <c r="E47" s="64">
        <v>420</v>
      </c>
      <c r="F47" s="64">
        <v>0</v>
      </c>
      <c r="G47" s="60">
        <v>510</v>
      </c>
      <c r="H47" s="60">
        <v>0</v>
      </c>
      <c r="I47" s="100">
        <v>535</v>
      </c>
      <c r="J47" s="100">
        <v>650</v>
      </c>
      <c r="K47" s="91">
        <v>510</v>
      </c>
      <c r="L47" s="91">
        <v>692.5</v>
      </c>
      <c r="M47" s="178">
        <v>650</v>
      </c>
      <c r="N47" s="178">
        <v>501</v>
      </c>
      <c r="O47" s="115">
        <v>505</v>
      </c>
      <c r="P47" s="127">
        <v>267</v>
      </c>
      <c r="Q47" s="127">
        <f t="shared" si="5"/>
        <v>0</v>
      </c>
      <c r="R47" s="127">
        <v>238</v>
      </c>
      <c r="S47" s="115"/>
      <c r="T47" s="160">
        <f>15*40.5</f>
        <v>607.5</v>
      </c>
      <c r="U47" s="160" t="s">
        <v>163</v>
      </c>
      <c r="V47" s="160">
        <f t="shared" si="2"/>
        <v>-102.5</v>
      </c>
    </row>
    <row r="48" spans="1:22" ht="15" x14ac:dyDescent="0.2">
      <c r="A48" s="22" t="s">
        <v>31</v>
      </c>
      <c r="B48" s="78" t="s">
        <v>31</v>
      </c>
      <c r="C48" s="23" t="s">
        <v>32</v>
      </c>
      <c r="D48" s="24" t="s">
        <v>81</v>
      </c>
      <c r="E48" s="64">
        <v>262</v>
      </c>
      <c r="F48" s="64">
        <v>307.97000000000003</v>
      </c>
      <c r="G48" s="60">
        <v>277.72000000000003</v>
      </c>
      <c r="H48" s="60">
        <v>273.77999999999997</v>
      </c>
      <c r="I48" s="100">
        <v>275</v>
      </c>
      <c r="J48" s="100">
        <v>268.87</v>
      </c>
      <c r="K48" s="91">
        <v>278</v>
      </c>
      <c r="L48" s="91">
        <v>294.42</v>
      </c>
      <c r="M48" s="178">
        <v>300</v>
      </c>
      <c r="N48" s="178">
        <v>302.92</v>
      </c>
      <c r="O48" s="115">
        <v>330</v>
      </c>
      <c r="P48" s="127">
        <v>306.89</v>
      </c>
      <c r="Q48" s="127">
        <f t="shared" si="5"/>
        <v>23.110000000000014</v>
      </c>
      <c r="R48" s="127">
        <v>0</v>
      </c>
      <c r="S48" s="115"/>
      <c r="T48" s="160">
        <f>O48*1.1</f>
        <v>363.00000000000006</v>
      </c>
      <c r="U48" s="160" t="s">
        <v>135</v>
      </c>
      <c r="V48" s="160">
        <f t="shared" si="2"/>
        <v>-56.11000000000007</v>
      </c>
    </row>
    <row r="49" spans="1:22" ht="15" x14ac:dyDescent="0.2">
      <c r="A49" s="26"/>
      <c r="B49" s="78" t="s">
        <v>31</v>
      </c>
      <c r="C49" s="23" t="s">
        <v>33</v>
      </c>
      <c r="D49" s="24" t="s">
        <v>34</v>
      </c>
      <c r="E49" s="64">
        <v>20</v>
      </c>
      <c r="F49" s="64">
        <v>20</v>
      </c>
      <c r="G49" s="60">
        <v>21.200000000000003</v>
      </c>
      <c r="H49" s="60">
        <v>0</v>
      </c>
      <c r="I49" s="100">
        <v>21.200000000000003</v>
      </c>
      <c r="J49" s="100"/>
      <c r="K49" s="91">
        <v>0</v>
      </c>
      <c r="L49" s="91"/>
      <c r="M49" s="178">
        <v>0</v>
      </c>
      <c r="N49" s="178"/>
      <c r="O49" s="115">
        <v>0</v>
      </c>
      <c r="P49" s="127">
        <v>0</v>
      </c>
      <c r="Q49" s="127">
        <f t="shared" si="5"/>
        <v>0</v>
      </c>
      <c r="R49" s="127">
        <v>0</v>
      </c>
      <c r="S49" s="115"/>
      <c r="T49" s="160"/>
      <c r="U49" s="160" t="s">
        <v>143</v>
      </c>
      <c r="V49" s="160">
        <f t="shared" si="2"/>
        <v>0</v>
      </c>
    </row>
    <row r="50" spans="1:22" ht="15" x14ac:dyDescent="0.2">
      <c r="A50" s="26"/>
      <c r="B50" s="78" t="s">
        <v>31</v>
      </c>
      <c r="C50" s="23" t="s">
        <v>35</v>
      </c>
      <c r="D50" s="24" t="s">
        <v>36</v>
      </c>
      <c r="E50" s="64">
        <v>115</v>
      </c>
      <c r="F50" s="64">
        <v>89</v>
      </c>
      <c r="G50" s="60">
        <v>121.9</v>
      </c>
      <c r="H50" s="60">
        <v>109</v>
      </c>
      <c r="I50" s="100">
        <v>114</v>
      </c>
      <c r="J50" s="100"/>
      <c r="K50" s="91">
        <v>114</v>
      </c>
      <c r="L50" s="91">
        <v>224</v>
      </c>
      <c r="M50" s="178">
        <v>114</v>
      </c>
      <c r="N50" s="178">
        <v>112</v>
      </c>
      <c r="O50" s="115">
        <v>125</v>
      </c>
      <c r="P50" s="127">
        <v>112</v>
      </c>
      <c r="Q50" s="127">
        <f t="shared" si="5"/>
        <v>13</v>
      </c>
      <c r="R50" s="127">
        <v>0</v>
      </c>
      <c r="S50" s="115"/>
      <c r="T50" s="160">
        <f>O50*1.1</f>
        <v>137.5</v>
      </c>
      <c r="U50" s="160" t="s">
        <v>135</v>
      </c>
      <c r="V50" s="160">
        <f t="shared" si="2"/>
        <v>-25.5</v>
      </c>
    </row>
    <row r="51" spans="1:22" ht="30" x14ac:dyDescent="0.2">
      <c r="A51" s="26"/>
      <c r="B51" s="78" t="s">
        <v>122</v>
      </c>
      <c r="C51" s="23" t="s">
        <v>37</v>
      </c>
      <c r="D51" s="24" t="s">
        <v>112</v>
      </c>
      <c r="E51" s="64">
        <v>0</v>
      </c>
      <c r="F51" s="64">
        <v>300</v>
      </c>
      <c r="G51" s="60">
        <v>500</v>
      </c>
      <c r="H51" s="60">
        <v>50</v>
      </c>
      <c r="I51" s="100">
        <v>500</v>
      </c>
      <c r="J51" s="100">
        <v>511.4</v>
      </c>
      <c r="K51" s="91">
        <v>500</v>
      </c>
      <c r="L51" s="91">
        <v>370</v>
      </c>
      <c r="M51" s="178">
        <v>500</v>
      </c>
      <c r="N51" s="178"/>
      <c r="O51" s="115">
        <v>500</v>
      </c>
      <c r="P51" s="127">
        <v>345.83</v>
      </c>
      <c r="Q51" s="127">
        <f t="shared" si="5"/>
        <v>54.170000000000016</v>
      </c>
      <c r="R51" s="127">
        <v>100</v>
      </c>
      <c r="S51" s="120" t="s">
        <v>175</v>
      </c>
      <c r="T51" s="161">
        <v>500</v>
      </c>
      <c r="U51" s="161" t="s">
        <v>141</v>
      </c>
      <c r="V51" s="160">
        <f t="shared" si="2"/>
        <v>-54.170000000000016</v>
      </c>
    </row>
    <row r="52" spans="1:22" x14ac:dyDescent="0.2">
      <c r="A52" s="26"/>
      <c r="B52" s="78"/>
      <c r="C52" s="23"/>
      <c r="D52" s="24"/>
      <c r="E52" s="64"/>
      <c r="F52" s="64">
        <v>159</v>
      </c>
      <c r="G52" s="60"/>
      <c r="H52" s="60"/>
      <c r="I52" s="100"/>
      <c r="J52" s="100"/>
      <c r="K52" s="91"/>
      <c r="L52" s="91"/>
      <c r="M52" s="178"/>
      <c r="N52" s="178"/>
      <c r="O52" s="115"/>
      <c r="P52" s="127"/>
      <c r="Q52" s="127"/>
      <c r="R52" s="127"/>
      <c r="S52" s="115"/>
      <c r="T52" s="160"/>
      <c r="U52" s="160"/>
      <c r="V52" s="160"/>
    </row>
    <row r="53" spans="1:22" s="35" customFormat="1" ht="15" x14ac:dyDescent="0.2">
      <c r="A53" s="33"/>
      <c r="B53" s="84" t="s">
        <v>125</v>
      </c>
      <c r="C53" s="34"/>
      <c r="D53" s="34" t="s">
        <v>12</v>
      </c>
      <c r="E53" s="57">
        <f>SUM(E13:E51)</f>
        <v>28936.12</v>
      </c>
      <c r="F53" s="57">
        <f t="shared" ref="F53:R53" si="6">SUM(F13:F52)</f>
        <v>25586.170000000002</v>
      </c>
      <c r="G53" s="57">
        <f t="shared" si="6"/>
        <v>20614.820000000003</v>
      </c>
      <c r="H53" s="57">
        <f t="shared" si="6"/>
        <v>21205.250000000004</v>
      </c>
      <c r="I53" s="57">
        <f t="shared" si="6"/>
        <v>27578.2</v>
      </c>
      <c r="J53" s="57">
        <f t="shared" si="6"/>
        <v>20671.969999999998</v>
      </c>
      <c r="K53" s="57">
        <f t="shared" si="6"/>
        <v>25176</v>
      </c>
      <c r="L53" s="57">
        <f t="shared" si="6"/>
        <v>29142.68</v>
      </c>
      <c r="M53" s="57">
        <f t="shared" si="6"/>
        <v>28644.39</v>
      </c>
      <c r="N53" s="57">
        <f t="shared" si="6"/>
        <v>18812.039999999997</v>
      </c>
      <c r="O53" s="57">
        <f t="shared" si="6"/>
        <v>27693.014666666666</v>
      </c>
      <c r="P53" s="57">
        <f t="shared" si="6"/>
        <v>17643.350000000002</v>
      </c>
      <c r="Q53" s="57">
        <f t="shared" si="6"/>
        <v>6113.6646666666675</v>
      </c>
      <c r="R53" s="57">
        <f t="shared" si="6"/>
        <v>7157.0416666666661</v>
      </c>
      <c r="S53" s="121"/>
      <c r="T53" s="57">
        <f>SUM(T13:T52)</f>
        <v>30908.5412</v>
      </c>
      <c r="U53" s="121"/>
      <c r="V53" s="122"/>
    </row>
    <row r="54" spans="1:22" ht="15" x14ac:dyDescent="0.2">
      <c r="A54" s="36"/>
      <c r="B54" s="79" t="s">
        <v>125</v>
      </c>
      <c r="C54" s="24"/>
      <c r="D54" s="24"/>
      <c r="E54" s="67"/>
      <c r="F54" s="67"/>
      <c r="G54" s="60"/>
      <c r="H54" s="60"/>
      <c r="I54" s="100"/>
      <c r="J54" s="100"/>
      <c r="K54" s="91" t="str">
        <f>IFERROR(#REF!/I54,"")</f>
        <v/>
      </c>
      <c r="L54" s="91" t="str">
        <f>IF(K54="","",IF(K54&gt;100%,"Check",""))</f>
        <v/>
      </c>
      <c r="M54" s="178"/>
      <c r="N54" s="178"/>
      <c r="O54" s="115"/>
      <c r="P54" s="127" t="str">
        <f>IF(O54="","",IF(O54&gt;100%,"Check",""))</f>
        <v/>
      </c>
      <c r="Q54" s="127"/>
      <c r="R54" s="127"/>
      <c r="S54" s="115"/>
      <c r="T54" s="160"/>
      <c r="U54" s="160"/>
      <c r="V54" s="160"/>
    </row>
    <row r="55" spans="1:22" s="39" customFormat="1" ht="18" x14ac:dyDescent="0.2">
      <c r="A55" s="37" t="s">
        <v>70</v>
      </c>
      <c r="B55" s="85" t="s">
        <v>125</v>
      </c>
      <c r="C55" s="38"/>
      <c r="D55" s="53"/>
      <c r="E55" s="68"/>
      <c r="F55" s="68"/>
      <c r="G55" s="69"/>
      <c r="H55" s="69"/>
      <c r="I55" s="101"/>
      <c r="J55" s="101"/>
      <c r="K55" s="91" t="str">
        <f>IFERROR(#REF!/I55,"")</f>
        <v/>
      </c>
      <c r="L55" s="91" t="str">
        <f>IF(K55="","",IF(K55&gt;100%,"Check",""))</f>
        <v/>
      </c>
      <c r="M55" s="178"/>
      <c r="N55" s="178"/>
      <c r="O55" s="116"/>
      <c r="P55" s="127" t="str">
        <f>IF(O55="","",IF(O55&gt;100%,"Check",""))</f>
        <v/>
      </c>
      <c r="Q55" s="127"/>
      <c r="R55" s="127"/>
      <c r="S55" s="116"/>
      <c r="T55" s="162"/>
      <c r="U55" s="162"/>
      <c r="V55" s="162"/>
    </row>
    <row r="56" spans="1:22" ht="30" x14ac:dyDescent="0.2">
      <c r="A56" s="40" t="s">
        <v>71</v>
      </c>
      <c r="B56" s="78" t="s">
        <v>123</v>
      </c>
      <c r="C56" s="24" t="s">
        <v>72</v>
      </c>
      <c r="D56" s="24" t="s">
        <v>73</v>
      </c>
      <c r="E56" s="64">
        <v>2000</v>
      </c>
      <c r="F56" s="70"/>
      <c r="G56" s="60">
        <v>2000</v>
      </c>
      <c r="H56" s="60"/>
      <c r="I56" s="100">
        <v>0</v>
      </c>
      <c r="J56" s="100">
        <v>0</v>
      </c>
      <c r="K56" s="91">
        <v>0</v>
      </c>
      <c r="L56" s="91"/>
      <c r="M56" s="178">
        <v>0</v>
      </c>
      <c r="N56" s="178"/>
      <c r="O56" s="115">
        <v>0</v>
      </c>
      <c r="P56" s="127"/>
      <c r="Q56" s="127">
        <f>O56-P56-R56</f>
        <v>0</v>
      </c>
      <c r="R56" s="127">
        <v>0</v>
      </c>
      <c r="S56" s="115"/>
      <c r="T56" s="160"/>
      <c r="U56" s="160"/>
      <c r="V56" s="160"/>
    </row>
    <row r="57" spans="1:22" ht="60" x14ac:dyDescent="0.2">
      <c r="A57" s="32"/>
      <c r="B57" s="78" t="s">
        <v>123</v>
      </c>
      <c r="C57" s="24" t="s">
        <v>74</v>
      </c>
      <c r="D57" s="24" t="s">
        <v>102</v>
      </c>
      <c r="E57" s="64">
        <v>1000</v>
      </c>
      <c r="F57" s="64"/>
      <c r="G57" s="60">
        <v>0</v>
      </c>
      <c r="H57" s="60">
        <v>12834</v>
      </c>
      <c r="I57" s="100">
        <v>0</v>
      </c>
      <c r="J57" s="100">
        <v>0</v>
      </c>
      <c r="K57" s="91">
        <v>0</v>
      </c>
      <c r="L57" s="91">
        <v>17292</v>
      </c>
      <c r="M57" s="178">
        <v>0</v>
      </c>
      <c r="N57" s="178">
        <v>11390</v>
      </c>
      <c r="O57" s="115">
        <v>0</v>
      </c>
      <c r="P57" s="127">
        <v>15929</v>
      </c>
      <c r="Q57" s="127">
        <f>O57-P57-R57</f>
        <v>-15929</v>
      </c>
      <c r="R57" s="127">
        <v>0</v>
      </c>
      <c r="S57" s="120" t="s">
        <v>155</v>
      </c>
      <c r="T57" s="160"/>
      <c r="U57" s="161"/>
      <c r="V57" s="160"/>
    </row>
    <row r="58" spans="1:22" ht="30" x14ac:dyDescent="0.2">
      <c r="A58" s="32"/>
      <c r="B58" s="78" t="s">
        <v>120</v>
      </c>
      <c r="C58" s="24" t="s">
        <v>75</v>
      </c>
      <c r="D58" s="24" t="s">
        <v>126</v>
      </c>
      <c r="E58" s="64">
        <v>350</v>
      </c>
      <c r="F58" s="64">
        <v>208.54999999999998</v>
      </c>
      <c r="G58" s="60">
        <v>800</v>
      </c>
      <c r="H58" s="60"/>
      <c r="I58" s="100">
        <v>0</v>
      </c>
      <c r="J58" s="100">
        <v>0</v>
      </c>
      <c r="K58" s="91">
        <v>0</v>
      </c>
      <c r="L58" s="91"/>
      <c r="M58" s="178">
        <v>0</v>
      </c>
      <c r="N58" s="178"/>
      <c r="O58" s="115">
        <v>0</v>
      </c>
      <c r="P58" s="127"/>
      <c r="Q58" s="127">
        <f>O58-P58-R58</f>
        <v>0</v>
      </c>
      <c r="R58" s="127">
        <v>0</v>
      </c>
      <c r="S58" s="115"/>
      <c r="T58" s="160"/>
      <c r="U58" s="160"/>
      <c r="V58" s="160"/>
    </row>
    <row r="59" spans="1:22" s="35" customFormat="1" ht="15" x14ac:dyDescent="0.2">
      <c r="A59" s="41"/>
      <c r="B59" s="86"/>
      <c r="C59" s="42"/>
      <c r="D59" s="34" t="s">
        <v>12</v>
      </c>
      <c r="E59" s="57">
        <f t="shared" ref="E59:R59" si="7">SUM(E56:E58)</f>
        <v>3350</v>
      </c>
      <c r="F59" s="57">
        <f t="shared" si="7"/>
        <v>208.54999999999998</v>
      </c>
      <c r="G59" s="57">
        <f t="shared" si="7"/>
        <v>2800</v>
      </c>
      <c r="H59" s="57">
        <f t="shared" si="7"/>
        <v>12834</v>
      </c>
      <c r="I59" s="57">
        <f t="shared" si="7"/>
        <v>0</v>
      </c>
      <c r="J59" s="57">
        <f t="shared" si="7"/>
        <v>0</v>
      </c>
      <c r="K59" s="57">
        <f t="shared" si="7"/>
        <v>0</v>
      </c>
      <c r="L59" s="57">
        <f t="shared" si="7"/>
        <v>17292</v>
      </c>
      <c r="M59" s="57">
        <f t="shared" si="7"/>
        <v>0</v>
      </c>
      <c r="N59" s="57">
        <f t="shared" si="7"/>
        <v>11390</v>
      </c>
      <c r="O59" s="57">
        <f t="shared" si="7"/>
        <v>0</v>
      </c>
      <c r="P59" s="57">
        <f t="shared" si="7"/>
        <v>15929</v>
      </c>
      <c r="Q59" s="57">
        <f t="shared" si="7"/>
        <v>-15929</v>
      </c>
      <c r="R59" s="57">
        <f t="shared" si="7"/>
        <v>0</v>
      </c>
      <c r="S59" s="57"/>
      <c r="T59" s="57">
        <f>SUM(T56:T58)</f>
        <v>0</v>
      </c>
      <c r="U59" s="121"/>
      <c r="V59" s="121"/>
    </row>
    <row r="60" spans="1:22" s="35" customFormat="1" x14ac:dyDescent="0.2">
      <c r="A60" s="43" t="s">
        <v>76</v>
      </c>
      <c r="B60" s="135"/>
      <c r="C60" s="104"/>
      <c r="D60" s="105"/>
      <c r="E60" s="70">
        <v>2501</v>
      </c>
      <c r="F60" s="70">
        <v>0</v>
      </c>
      <c r="G60" s="71">
        <v>2300</v>
      </c>
      <c r="H60" s="71">
        <v>0</v>
      </c>
      <c r="I60" s="102">
        <v>2300</v>
      </c>
      <c r="J60" s="102"/>
      <c r="K60" s="92">
        <v>2500</v>
      </c>
      <c r="L60" s="92"/>
      <c r="M60" s="179">
        <v>2500</v>
      </c>
      <c r="N60" s="179"/>
      <c r="O60" s="116">
        <v>2500</v>
      </c>
      <c r="P60" s="126"/>
      <c r="Q60" s="126"/>
      <c r="R60" s="126"/>
      <c r="S60" s="116"/>
      <c r="T60" s="162">
        <f>T10*0.1</f>
        <v>2685</v>
      </c>
      <c r="U60" s="162"/>
      <c r="V60" s="162"/>
    </row>
    <row r="61" spans="1:22" x14ac:dyDescent="0.2">
      <c r="A61" s="31"/>
      <c r="B61" s="80"/>
      <c r="C61" s="23"/>
      <c r="D61" s="24"/>
      <c r="E61" s="64"/>
      <c r="F61" s="64"/>
      <c r="G61" s="72"/>
      <c r="H61" s="72"/>
      <c r="I61" s="96"/>
      <c r="J61" s="96"/>
      <c r="K61" s="91" t="str">
        <f>IFERROR(#REF!/I61,"")</f>
        <v/>
      </c>
      <c r="L61" s="91" t="str">
        <f>IF(K61="","",IF(K61&gt;100%,"Check",""))</f>
        <v/>
      </c>
      <c r="M61" s="178"/>
      <c r="N61" s="178"/>
      <c r="O61" s="115"/>
      <c r="P61" s="127" t="str">
        <f>IF(O61="","",IF(O61&gt;100%,"Check",""))</f>
        <v/>
      </c>
      <c r="Q61" s="127" t="str">
        <f>IF(P61="","",IF(P61&gt;100%,"Check",""))</f>
        <v/>
      </c>
      <c r="R61" s="127" t="str">
        <f>IF(Q61="","",IF(Q61&gt;100%,"Check",""))</f>
        <v/>
      </c>
      <c r="S61" s="115"/>
      <c r="T61" s="160"/>
      <c r="U61" s="160"/>
      <c r="V61" s="160"/>
    </row>
    <row r="62" spans="1:22" s="140" customFormat="1" x14ac:dyDescent="0.2">
      <c r="A62" s="138" t="s">
        <v>77</v>
      </c>
      <c r="B62" s="138"/>
      <c r="C62" s="139"/>
      <c r="D62" s="34"/>
      <c r="E62" s="121">
        <f t="shared" ref="E62:N62" si="8">E10</f>
        <v>26500</v>
      </c>
      <c r="F62" s="121">
        <f t="shared" si="8"/>
        <v>37862.15</v>
      </c>
      <c r="G62" s="121">
        <f t="shared" si="8"/>
        <v>25850</v>
      </c>
      <c r="H62" s="121">
        <f t="shared" si="8"/>
        <v>36164.9</v>
      </c>
      <c r="I62" s="121">
        <f t="shared" si="8"/>
        <v>25350</v>
      </c>
      <c r="J62" s="121">
        <f t="shared" si="8"/>
        <v>40388.58</v>
      </c>
      <c r="K62" s="136">
        <f t="shared" si="8"/>
        <v>25350</v>
      </c>
      <c r="L62" s="136">
        <f t="shared" si="8"/>
        <v>33131.550000000003</v>
      </c>
      <c r="M62" s="136">
        <f t="shared" si="8"/>
        <v>25350</v>
      </c>
      <c r="N62" s="136">
        <f t="shared" si="8"/>
        <v>39509.880000000005</v>
      </c>
      <c r="O62" s="136">
        <f>O10</f>
        <v>25350</v>
      </c>
      <c r="P62" s="136">
        <f>P10</f>
        <v>42133.520000000004</v>
      </c>
      <c r="Q62" s="136">
        <f>Q10</f>
        <v>0</v>
      </c>
      <c r="R62" s="136">
        <f>R10</f>
        <v>425</v>
      </c>
      <c r="S62" s="136"/>
      <c r="T62" s="136">
        <f>T10</f>
        <v>26850</v>
      </c>
      <c r="U62" s="121"/>
      <c r="V62" s="121"/>
    </row>
    <row r="63" spans="1:22" s="140" customFormat="1" ht="75" x14ac:dyDescent="0.2">
      <c r="A63" s="141" t="s">
        <v>78</v>
      </c>
      <c r="B63" s="142"/>
      <c r="C63" s="139"/>
      <c r="D63" s="34"/>
      <c r="E63" s="57">
        <f t="shared" ref="E63:N63" si="9">E53+E59+E60</f>
        <v>34787.119999999995</v>
      </c>
      <c r="F63" s="57">
        <f t="shared" si="9"/>
        <v>25794.720000000001</v>
      </c>
      <c r="G63" s="57">
        <f t="shared" si="9"/>
        <v>25714.820000000003</v>
      </c>
      <c r="H63" s="57">
        <f t="shared" si="9"/>
        <v>34039.25</v>
      </c>
      <c r="I63" s="57">
        <f t="shared" si="9"/>
        <v>29878.2</v>
      </c>
      <c r="J63" s="57">
        <f t="shared" si="9"/>
        <v>20671.969999999998</v>
      </c>
      <c r="K63" s="57">
        <f t="shared" si="9"/>
        <v>27676</v>
      </c>
      <c r="L63" s="57">
        <f t="shared" si="9"/>
        <v>46434.68</v>
      </c>
      <c r="M63" s="57">
        <f t="shared" si="9"/>
        <v>31144.39</v>
      </c>
      <c r="N63" s="57">
        <f t="shared" si="9"/>
        <v>30202.039999999997</v>
      </c>
      <c r="O63" s="57">
        <f>O53+O59+O60</f>
        <v>30193.014666666666</v>
      </c>
      <c r="P63" s="57">
        <f>P53+P59+P60</f>
        <v>33572.350000000006</v>
      </c>
      <c r="Q63" s="57">
        <f>Q53+Q59+Q60</f>
        <v>-9815.3353333333325</v>
      </c>
      <c r="R63" s="57">
        <f>R53+R59+R60</f>
        <v>7157.0416666666661</v>
      </c>
      <c r="S63" s="57" t="s">
        <v>190</v>
      </c>
      <c r="T63" s="57">
        <f>T53+T59+T60</f>
        <v>33593.5412</v>
      </c>
      <c r="U63" s="121" t="s">
        <v>138</v>
      </c>
      <c r="V63" s="121"/>
    </row>
    <row r="64" spans="1:22" s="44" customFormat="1" ht="16" thickBot="1" x14ac:dyDescent="0.25">
      <c r="A64" s="106" t="s">
        <v>79</v>
      </c>
      <c r="B64" s="137"/>
      <c r="C64" s="107"/>
      <c r="D64" s="73"/>
      <c r="E64" s="166">
        <f t="shared" ref="E64:R64" si="10">E62-E63</f>
        <v>-8287.1199999999953</v>
      </c>
      <c r="F64" s="167">
        <f t="shared" si="10"/>
        <v>12067.43</v>
      </c>
      <c r="G64" s="168">
        <f t="shared" si="10"/>
        <v>135.17999999999665</v>
      </c>
      <c r="H64" s="168">
        <f t="shared" si="10"/>
        <v>2125.6500000000015</v>
      </c>
      <c r="I64" s="169">
        <f t="shared" si="10"/>
        <v>-4528.2000000000007</v>
      </c>
      <c r="J64" s="170">
        <f t="shared" si="10"/>
        <v>19716.610000000004</v>
      </c>
      <c r="K64" s="123">
        <f t="shared" si="10"/>
        <v>-2326</v>
      </c>
      <c r="L64" s="123">
        <f t="shared" si="10"/>
        <v>-13303.129999999997</v>
      </c>
      <c r="M64" s="123">
        <f t="shared" si="10"/>
        <v>-5794.3899999999994</v>
      </c>
      <c r="N64" s="123">
        <f t="shared" si="10"/>
        <v>9307.8400000000074</v>
      </c>
      <c r="O64" s="123">
        <f t="shared" si="10"/>
        <v>-4843.014666666666</v>
      </c>
      <c r="P64" s="123">
        <f t="shared" si="10"/>
        <v>8561.1699999999983</v>
      </c>
      <c r="Q64" s="123">
        <f t="shared" si="10"/>
        <v>9815.3353333333325</v>
      </c>
      <c r="R64" s="123">
        <f t="shared" si="10"/>
        <v>-6732.0416666666661</v>
      </c>
      <c r="S64" s="123"/>
      <c r="T64" s="123">
        <f>T62-T63</f>
        <v>-6743.5411999999997</v>
      </c>
      <c r="U64" s="121"/>
      <c r="V64" s="121"/>
    </row>
    <row r="65" spans="1:22" s="157" customFormat="1" ht="15" x14ac:dyDescent="0.2">
      <c r="A65" s="147" t="s">
        <v>80</v>
      </c>
      <c r="B65" s="148"/>
      <c r="C65" s="149"/>
      <c r="D65" s="150"/>
      <c r="E65" s="151">
        <v>58.53</v>
      </c>
      <c r="F65" s="152"/>
      <c r="G65" s="153">
        <v>53.89</v>
      </c>
      <c r="H65" s="153"/>
      <c r="I65" s="158">
        <v>58.19</v>
      </c>
      <c r="J65" s="131"/>
      <c r="K65" s="154">
        <v>57.83</v>
      </c>
      <c r="L65" s="154"/>
      <c r="M65" s="185"/>
      <c r="N65" s="185"/>
      <c r="O65" s="155">
        <v>58.06</v>
      </c>
      <c r="P65" s="156"/>
      <c r="Q65" s="156"/>
      <c r="R65" s="156"/>
      <c r="S65" s="155"/>
      <c r="T65" s="171">
        <f>T5/455.9</f>
        <v>58.126782189076557</v>
      </c>
      <c r="U65" s="171" t="s">
        <v>142</v>
      </c>
      <c r="V65" s="163"/>
    </row>
    <row r="66" spans="1:22" s="45" customFormat="1" ht="15" x14ac:dyDescent="0.2">
      <c r="A66" s="108"/>
      <c r="B66" s="108"/>
      <c r="C66" s="108"/>
      <c r="D66" s="143"/>
      <c r="E66" s="145"/>
      <c r="F66" s="145"/>
      <c r="G66" s="144"/>
      <c r="H66" s="144"/>
      <c r="I66" s="132"/>
      <c r="J66" s="132"/>
      <c r="K66" s="103"/>
      <c r="L66" s="103"/>
      <c r="M66" s="186"/>
      <c r="N66" s="186"/>
      <c r="O66" s="117"/>
      <c r="P66" s="117"/>
      <c r="Q66" s="117"/>
      <c r="R66" s="117"/>
      <c r="S66" s="117"/>
      <c r="T66" s="197">
        <f>(T65-O65)/O65</f>
        <v>1.1502271628755631E-3</v>
      </c>
      <c r="U66" s="198" t="s">
        <v>182</v>
      </c>
      <c r="V66" s="164"/>
    </row>
    <row r="67" spans="1:22" s="113" customFormat="1" ht="15" x14ac:dyDescent="0.2">
      <c r="A67" s="109" t="s">
        <v>109</v>
      </c>
      <c r="B67" s="109"/>
      <c r="C67" s="110"/>
      <c r="D67" s="111"/>
      <c r="E67" s="146">
        <v>5369.38</v>
      </c>
      <c r="F67" s="146"/>
      <c r="G67" s="130">
        <v>17436.990000000002</v>
      </c>
      <c r="H67" s="130"/>
      <c r="I67" s="133">
        <v>15210.44</v>
      </c>
      <c r="J67" s="134"/>
      <c r="K67" s="112">
        <v>33214.81</v>
      </c>
      <c r="L67" s="112"/>
      <c r="M67" s="187">
        <f>K68</f>
        <v>13953.85</v>
      </c>
      <c r="N67" s="187"/>
      <c r="O67" s="118">
        <f>M68</f>
        <v>19310.080000000002</v>
      </c>
      <c r="P67" s="118"/>
      <c r="Q67" s="118"/>
      <c r="R67" s="118">
        <v>22615.25</v>
      </c>
      <c r="S67" s="118" t="s">
        <v>188</v>
      </c>
      <c r="T67" s="165"/>
      <c r="U67" s="165"/>
      <c r="V67" s="165"/>
    </row>
    <row r="68" spans="1:22" s="113" customFormat="1" ht="15" x14ac:dyDescent="0.2">
      <c r="A68" s="109" t="s">
        <v>110</v>
      </c>
      <c r="B68" s="109"/>
      <c r="C68" s="110"/>
      <c r="D68" s="111"/>
      <c r="E68" s="146">
        <v>17436.990000000002</v>
      </c>
      <c r="F68" s="146"/>
      <c r="G68" s="130">
        <v>15210.44</v>
      </c>
      <c r="H68" s="130"/>
      <c r="I68" s="133">
        <v>33214.81</v>
      </c>
      <c r="J68" s="134"/>
      <c r="K68" s="112">
        <v>13953.85</v>
      </c>
      <c r="L68" s="112"/>
      <c r="M68" s="187">
        <v>19310.080000000002</v>
      </c>
      <c r="N68" s="187"/>
      <c r="O68" s="118"/>
      <c r="P68" s="118"/>
      <c r="Q68" s="118"/>
      <c r="R68" s="118"/>
      <c r="S68" s="118"/>
      <c r="T68" s="165"/>
      <c r="U68" s="165"/>
      <c r="V68" s="165"/>
    </row>
    <row r="69" spans="1:22" s="45" customFormat="1" ht="15" x14ac:dyDescent="0.2">
      <c r="C69" s="47"/>
      <c r="D69" s="54"/>
      <c r="E69" s="54"/>
      <c r="F69" s="54"/>
      <c r="G69" s="58"/>
      <c r="H69" s="58"/>
      <c r="K69" s="93"/>
      <c r="L69" s="93"/>
      <c r="M69" s="93"/>
      <c r="N69" s="93"/>
      <c r="O69" s="117"/>
      <c r="P69" s="118"/>
      <c r="Q69" s="118"/>
      <c r="R69" s="118"/>
      <c r="S69" s="117"/>
      <c r="T69" s="164"/>
      <c r="U69" s="164"/>
      <c r="V69" s="164"/>
    </row>
    <row r="70" spans="1:22" ht="15" x14ac:dyDescent="0.2">
      <c r="Q70" s="93"/>
      <c r="R70" s="93"/>
    </row>
  </sheetData>
  <autoFilter ref="A3:S65" xr:uid="{B92EC12A-F819-4909-BCAD-86A1D00E023E}"/>
  <sortState xmlns:xlrd2="http://schemas.microsoft.com/office/spreadsheetml/2017/richdata2" ref="A13:J51">
    <sortCondition ref="C13:C51"/>
  </sortState>
  <phoneticPr fontId="18" type="noConversion"/>
  <conditionalFormatting sqref="L13:N52 L54:N58 L60:N61">
    <cfRule type="containsText" dxfId="1" priority="2" operator="containsText" text="Check">
      <formula>NOT(ISERROR(SEARCH("Check",L13)))</formula>
    </cfRule>
  </conditionalFormatting>
  <conditionalFormatting sqref="P13:P52 P54:P58 P60:R61">
    <cfRule type="containsText" dxfId="0" priority="1" operator="containsText" text="Check">
      <formula>NOT(ISERROR(SEARCH("Check",P13)))</formula>
    </cfRule>
  </conditionalFormatting>
  <printOptions gridLines="1"/>
  <pageMargins left="0.7" right="0.7" top="0.75" bottom="0.75" header="0.3" footer="0.3"/>
  <pageSetup paperSize="9" scale="76" fitToHeight="0" orientation="landscape" r:id="rId1"/>
  <headerFooter>
    <oddFooter>&amp;L&amp;"Calibri,Regular"&amp;K000000&amp;A&amp;C&amp;"Calibri,Regular"&amp;K000000&amp;D</oddFooter>
  </headerFooter>
  <rowBreaks count="1" manualBreakCount="1">
    <brk id="10" max="16383" man="1"/>
  </rowBreaks>
  <ignoredErrors>
    <ignoredError sqref="L59 L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68AF-9042-BA45-B156-9C70AFA54585}">
  <dimension ref="B1:D24"/>
  <sheetViews>
    <sheetView tabSelected="1" topLeftCell="A5" zoomScale="160" zoomScaleNormal="160" workbookViewId="0">
      <selection activeCell="D23" sqref="D23"/>
    </sheetView>
  </sheetViews>
  <sheetFormatPr baseColWidth="10" defaultRowHeight="16" x14ac:dyDescent="0.2"/>
  <cols>
    <col min="1" max="1" width="6.83203125" style="128" customWidth="1"/>
    <col min="2" max="2" width="46.33203125" style="128" customWidth="1"/>
    <col min="3" max="3" width="12.33203125" style="129" customWidth="1"/>
    <col min="4" max="4" width="46.1640625" style="128" customWidth="1"/>
    <col min="5" max="16384" width="10.83203125" style="128"/>
  </cols>
  <sheetData>
    <row r="1" spans="2:4" x14ac:dyDescent="0.2">
      <c r="B1" s="128" t="s">
        <v>167</v>
      </c>
    </row>
    <row r="3" spans="2:4" ht="15" customHeight="1" x14ac:dyDescent="0.2">
      <c r="B3" s="172" t="s">
        <v>165</v>
      </c>
      <c r="C3" s="173">
        <v>19310.080000000002</v>
      </c>
      <c r="D3" s="172"/>
    </row>
    <row r="4" spans="2:4" ht="15" customHeight="1" x14ac:dyDescent="0.2">
      <c r="B4" s="172" t="s">
        <v>191</v>
      </c>
      <c r="C4" s="173">
        <v>42134</v>
      </c>
      <c r="D4" s="172"/>
    </row>
    <row r="5" spans="2:4" ht="15" customHeight="1" x14ac:dyDescent="0.2">
      <c r="B5" s="172" t="s">
        <v>192</v>
      </c>
      <c r="C5" s="173">
        <v>33572</v>
      </c>
      <c r="D5" s="172"/>
    </row>
    <row r="6" spans="2:4" ht="15" customHeight="1" x14ac:dyDescent="0.2">
      <c r="B6" s="172" t="s">
        <v>193</v>
      </c>
      <c r="C6" s="173">
        <v>5256</v>
      </c>
      <c r="D6" s="172"/>
    </row>
    <row r="7" spans="2:4" ht="15" customHeight="1" x14ac:dyDescent="0.2">
      <c r="B7" s="174" t="s">
        <v>131</v>
      </c>
      <c r="C7" s="175">
        <f>C3+C4-C5-C6</f>
        <v>22616.080000000002</v>
      </c>
      <c r="D7" s="176" t="s">
        <v>194</v>
      </c>
    </row>
    <row r="8" spans="2:4" ht="15" customHeight="1" x14ac:dyDescent="0.2">
      <c r="B8" s="172"/>
      <c r="C8" s="173"/>
      <c r="D8" s="172"/>
    </row>
    <row r="9" spans="2:4" ht="15" customHeight="1" x14ac:dyDescent="0.2">
      <c r="B9" s="172" t="s">
        <v>132</v>
      </c>
      <c r="C9" s="173">
        <v>350</v>
      </c>
      <c r="D9" s="172" t="s">
        <v>133</v>
      </c>
    </row>
    <row r="10" spans="2:4" ht="15" customHeight="1" x14ac:dyDescent="0.2">
      <c r="B10" s="172" t="s">
        <v>134</v>
      </c>
      <c r="C10" s="173">
        <v>7517</v>
      </c>
      <c r="D10" s="172"/>
    </row>
    <row r="11" spans="2:4" ht="15" customHeight="1" x14ac:dyDescent="0.2">
      <c r="B11" s="172"/>
      <c r="C11" s="173"/>
      <c r="D11" s="172"/>
    </row>
    <row r="12" spans="2:4" ht="15" customHeight="1" x14ac:dyDescent="0.2">
      <c r="B12" s="174" t="s">
        <v>164</v>
      </c>
      <c r="C12" s="175">
        <f>C7+C9-C10</f>
        <v>15449.080000000002</v>
      </c>
      <c r="D12" s="172"/>
    </row>
    <row r="13" spans="2:4" x14ac:dyDescent="0.2">
      <c r="B13" s="172"/>
      <c r="C13" s="173"/>
      <c r="D13" s="172"/>
    </row>
    <row r="14" spans="2:4" x14ac:dyDescent="0.2">
      <c r="B14" s="172"/>
      <c r="C14" s="173"/>
      <c r="D14" s="172"/>
    </row>
    <row r="15" spans="2:4" x14ac:dyDescent="0.2">
      <c r="B15" s="172"/>
      <c r="C15" s="173"/>
      <c r="D15" s="172"/>
    </row>
    <row r="18" spans="2:3" ht="18" x14ac:dyDescent="0.2">
      <c r="B18" s="199" t="s">
        <v>196</v>
      </c>
      <c r="C18" s="200">
        <v>26850</v>
      </c>
    </row>
    <row r="19" spans="2:3" ht="18" x14ac:dyDescent="0.2">
      <c r="B19" s="199" t="s">
        <v>197</v>
      </c>
      <c r="C19" s="200">
        <v>30909</v>
      </c>
    </row>
    <row r="20" spans="2:3" ht="18" x14ac:dyDescent="0.2">
      <c r="B20" s="199" t="s">
        <v>198</v>
      </c>
      <c r="C20" s="200">
        <v>0</v>
      </c>
    </row>
    <row r="21" spans="2:3" ht="18" x14ac:dyDescent="0.2">
      <c r="B21" s="199" t="s">
        <v>199</v>
      </c>
      <c r="C21" s="200">
        <v>2685</v>
      </c>
    </row>
    <row r="22" spans="2:3" ht="18" x14ac:dyDescent="0.2">
      <c r="B22" s="199" t="s">
        <v>200</v>
      </c>
      <c r="C22" s="200">
        <f>C19+C21</f>
        <v>33594</v>
      </c>
    </row>
    <row r="23" spans="2:3" ht="18" x14ac:dyDescent="0.2">
      <c r="B23" s="199" t="s">
        <v>201</v>
      </c>
      <c r="C23" s="200">
        <f>C18-C22</f>
        <v>-6744</v>
      </c>
    </row>
    <row r="24" spans="2:3" x14ac:dyDescent="0.2">
      <c r="B24" s="172" t="s">
        <v>202</v>
      </c>
      <c r="C24" s="173">
        <v>15000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Budget_Spend</vt:lpstr>
      <vt:lpstr>Summary</vt:lpstr>
      <vt:lpstr>Budget_Spend!Print_Area</vt:lpstr>
      <vt:lpstr>Budget_Spend!Print_Titles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2023-12-20T08:45:45Z</cp:lastPrinted>
  <dcterms:created xsi:type="dcterms:W3CDTF">2019-05-15T17:12:23Z</dcterms:created>
  <dcterms:modified xsi:type="dcterms:W3CDTF">2025-01-14T18:57:48Z</dcterms:modified>
  <cp:category/>
  <cp:contentStatus/>
</cp:coreProperties>
</file>