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SIPC Finance/Annual Return Documents/2023-24/Int Audit Reports/"/>
    </mc:Choice>
  </mc:AlternateContent>
  <xr:revisionPtr revIDLastSave="0" documentId="8_{8ECE8AEF-887F-E74B-A6A1-4F86820A1CA9}" xr6:coauthVersionLast="47" xr6:coauthVersionMax="47" xr10:uidLastSave="{00000000-0000-0000-0000-000000000000}"/>
  <bookViews>
    <workbookView xWindow="29040" yWindow="1420" windowWidth="36980" windowHeight="19200" activeTab="2" xr2:uid="{EF328E6F-9CCF-444D-A76F-F626E7C71552}"/>
  </bookViews>
  <sheets>
    <sheet name="Budget Status 2023-24" sheetId="11" r:id="rId1"/>
    <sheet name="Activity" sheetId="1" r:id="rId2"/>
    <sheet name="AGAR CheckCalcs" sheetId="22" r:id="rId3"/>
    <sheet name="Form" sheetId="23" r:id="rId4"/>
    <sheet name="Box 2" sheetId="24" r:id="rId5"/>
    <sheet name="Box 3" sheetId="25" r:id="rId6"/>
    <sheet name="Box 4" sheetId="26" r:id="rId7"/>
    <sheet name="Box 5 &amp; 10" sheetId="27" r:id="rId8"/>
    <sheet name="Box 6" sheetId="28" r:id="rId9"/>
    <sheet name="Box 7 &amp; 8" sheetId="29" r:id="rId10"/>
    <sheet name="Box 9" sheetId="30" r:id="rId11"/>
    <sheet name="Bank Rec" sheetId="31" r:id="rId12"/>
    <sheet name="VAT126" sheetId="17" r:id="rId13"/>
  </sheets>
  <definedNames>
    <definedName name="_xlnm._FilterDatabase" localSheetId="1" hidden="1">Activity!$A$4:$R$194</definedName>
    <definedName name="_xlnm._FilterDatabase" localSheetId="2" hidden="1">'AGAR CheckCalcs'!$A$4:$Q$183</definedName>
    <definedName name="_xlnm.Print_Area" localSheetId="11">'Bank Rec'!$B$1:$D$24</definedName>
    <definedName name="_xlnm.Print_Area" localSheetId="0">'Budget Status 2023-24'!$A$3:$H$51</definedName>
    <definedName name="_xlnm.Print_Area" localSheetId="12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28" l="1"/>
  <c r="D7" i="30"/>
  <c r="D16" i="29"/>
  <c r="D12" i="29"/>
  <c r="D11" i="29"/>
  <c r="D10" i="29"/>
  <c r="D3" i="29"/>
  <c r="D20" i="28"/>
  <c r="D9" i="25" l="1"/>
  <c r="C20" i="23" l="1"/>
  <c r="C16" i="23"/>
  <c r="C12" i="23"/>
  <c r="C10" i="23"/>
  <c r="C8" i="23"/>
  <c r="D15" i="31" l="1"/>
  <c r="D17" i="31"/>
  <c r="E39" i="31"/>
  <c r="D22" i="31" s="1"/>
  <c r="D39" i="31"/>
  <c r="E6" i="30"/>
  <c r="C7" i="30"/>
  <c r="E7" i="30" s="1"/>
  <c r="E9" i="28"/>
  <c r="E12" i="28"/>
  <c r="E20" i="28"/>
  <c r="C23" i="28"/>
  <c r="C8" i="27"/>
  <c r="D8" i="27"/>
  <c r="C9" i="26"/>
  <c r="E8" i="25"/>
  <c r="E9" i="25"/>
  <c r="C8" i="24"/>
  <c r="D8" i="23"/>
  <c r="E8" i="23" s="1"/>
  <c r="D10" i="23"/>
  <c r="E10" i="23" s="1"/>
  <c r="D12" i="23"/>
  <c r="E12" i="23" s="1"/>
  <c r="D14" i="23"/>
  <c r="D16" i="23"/>
  <c r="E16" i="23" s="1"/>
  <c r="D18" i="23"/>
  <c r="E18" i="23" s="1"/>
  <c r="D20" i="23"/>
  <c r="E20" i="23" s="1"/>
  <c r="D22" i="23"/>
  <c r="E22" i="23" s="1"/>
  <c r="D24" i="23"/>
  <c r="F39" i="31" l="1"/>
  <c r="D14" i="29"/>
  <c r="D18" i="29" s="1"/>
  <c r="D23" i="31"/>
  <c r="D24" i="31" s="1"/>
  <c r="D202" i="22" l="1"/>
  <c r="C201" i="22"/>
  <c r="C200" i="22"/>
  <c r="C199" i="22"/>
  <c r="O190" i="22"/>
  <c r="K190" i="22" l="1"/>
  <c r="L190" i="22"/>
  <c r="M190" i="22"/>
  <c r="N190" i="22"/>
  <c r="J190" i="22"/>
  <c r="M186" i="22"/>
  <c r="J186" i="22"/>
  <c r="M183" i="22"/>
  <c r="M181" i="22"/>
  <c r="M180" i="22"/>
  <c r="M179" i="22"/>
  <c r="M178" i="22"/>
  <c r="M177" i="22"/>
  <c r="M176" i="22"/>
  <c r="M175" i="22"/>
  <c r="M172" i="22"/>
  <c r="M169" i="22"/>
  <c r="M167" i="22"/>
  <c r="M166" i="22"/>
  <c r="M163" i="22"/>
  <c r="M157" i="22"/>
  <c r="M154" i="22"/>
  <c r="M153" i="22"/>
  <c r="M152" i="22"/>
  <c r="M151" i="22"/>
  <c r="M150" i="22"/>
  <c r="M149" i="22"/>
  <c r="M148" i="22"/>
  <c r="M147" i="22"/>
  <c r="M144" i="22"/>
  <c r="M141" i="22"/>
  <c r="M140" i="22"/>
  <c r="M138" i="22"/>
  <c r="M135" i="22"/>
  <c r="M131" i="22"/>
  <c r="M130" i="22"/>
  <c r="M129" i="22"/>
  <c r="M128" i="22"/>
  <c r="M127" i="22"/>
  <c r="M126" i="22"/>
  <c r="M125" i="22"/>
  <c r="M124" i="22"/>
  <c r="M123" i="22"/>
  <c r="M122" i="22"/>
  <c r="M121" i="22"/>
  <c r="M120" i="22"/>
  <c r="M119" i="22"/>
  <c r="M116" i="22"/>
  <c r="M112" i="22"/>
  <c r="M111" i="22"/>
  <c r="M110" i="22"/>
  <c r="M109" i="22"/>
  <c r="M106" i="22"/>
  <c r="M105" i="22"/>
  <c r="M104" i="22"/>
  <c r="M103" i="22"/>
  <c r="M100" i="22"/>
  <c r="M99" i="22"/>
  <c r="M94" i="22"/>
  <c r="M87" i="22"/>
  <c r="M84" i="22"/>
  <c r="M80" i="22"/>
  <c r="M77" i="22"/>
  <c r="M72" i="22"/>
  <c r="M69" i="22"/>
  <c r="M68" i="22"/>
  <c r="M67" i="22"/>
  <c r="M66" i="22"/>
  <c r="M63" i="22"/>
  <c r="M62" i="22"/>
  <c r="M61" i="22"/>
  <c r="M60" i="22"/>
  <c r="M57" i="22"/>
  <c r="M54" i="22"/>
  <c r="M53" i="22"/>
  <c r="M52" i="22"/>
  <c r="M51" i="22"/>
  <c r="M50" i="22"/>
  <c r="M49" i="22"/>
  <c r="M46" i="22"/>
  <c r="M43" i="22"/>
  <c r="M42" i="22"/>
  <c r="M41" i="22"/>
  <c r="M40" i="22"/>
  <c r="M39" i="22"/>
  <c r="M38" i="22"/>
  <c r="M37" i="22"/>
  <c r="M36" i="22"/>
  <c r="M35" i="22"/>
  <c r="M34" i="22"/>
  <c r="M33" i="22"/>
  <c r="M32" i="22"/>
  <c r="M29" i="22"/>
  <c r="M22" i="22"/>
  <c r="M21" i="22"/>
  <c r="L174" i="22"/>
  <c r="L173" i="22"/>
  <c r="L171" i="22"/>
  <c r="L170" i="22"/>
  <c r="L165" i="22"/>
  <c r="L164" i="22"/>
  <c r="L162" i="22"/>
  <c r="L161" i="22"/>
  <c r="L159" i="22"/>
  <c r="L158" i="22"/>
  <c r="L156" i="22"/>
  <c r="L155" i="22"/>
  <c r="L146" i="22"/>
  <c r="L145" i="22"/>
  <c r="L143" i="22"/>
  <c r="L142" i="22"/>
  <c r="L137" i="22"/>
  <c r="L136" i="22"/>
  <c r="L134" i="22"/>
  <c r="L133" i="22"/>
  <c r="L118" i="22"/>
  <c r="L117" i="22"/>
  <c r="L115" i="22"/>
  <c r="L114" i="22"/>
  <c r="L96" i="22"/>
  <c r="L95" i="22"/>
  <c r="L93" i="22"/>
  <c r="L92" i="22"/>
  <c r="L79" i="22"/>
  <c r="L78" i="22"/>
  <c r="L76" i="22"/>
  <c r="L75" i="22"/>
  <c r="L74" i="22"/>
  <c r="L73" i="22"/>
  <c r="L71" i="22"/>
  <c r="L70" i="22"/>
  <c r="L59" i="22"/>
  <c r="L58" i="22"/>
  <c r="L56" i="22"/>
  <c r="L55" i="22"/>
  <c r="L48" i="22"/>
  <c r="L47" i="22"/>
  <c r="L45" i="22"/>
  <c r="L44" i="22"/>
  <c r="L31" i="22"/>
  <c r="L30" i="22"/>
  <c r="L28" i="22"/>
  <c r="L27" i="22"/>
  <c r="I185" i="22"/>
  <c r="N185" i="22"/>
  <c r="O185" i="22"/>
  <c r="H185" i="22"/>
  <c r="K168" i="22"/>
  <c r="K160" i="22"/>
  <c r="K139" i="22"/>
  <c r="K132" i="22"/>
  <c r="K113" i="22"/>
  <c r="K108" i="22"/>
  <c r="K107" i="22"/>
  <c r="K102" i="22"/>
  <c r="K101" i="22"/>
  <c r="K98" i="22"/>
  <c r="K97" i="22"/>
  <c r="K91" i="22"/>
  <c r="K90" i="22"/>
  <c r="K89" i="22"/>
  <c r="K88" i="22"/>
  <c r="K86" i="22"/>
  <c r="K85" i="22"/>
  <c r="K83" i="22"/>
  <c r="K82" i="22"/>
  <c r="K81" i="22"/>
  <c r="K65" i="22"/>
  <c r="K26" i="22"/>
  <c r="K25" i="22"/>
  <c r="K24" i="22"/>
  <c r="J182" i="22"/>
  <c r="J64" i="22"/>
  <c r="J23" i="22"/>
  <c r="M185" i="22" l="1"/>
  <c r="J185" i="22"/>
  <c r="L185" i="22"/>
  <c r="K185" i="22"/>
  <c r="H72" i="11" l="1"/>
  <c r="K182" i="1" l="1"/>
  <c r="M182" i="1" s="1"/>
  <c r="K181" i="1"/>
  <c r="M181" i="1" s="1"/>
  <c r="K170" i="1"/>
  <c r="M170" i="1" s="1"/>
  <c r="K171" i="1"/>
  <c r="M171" i="1" s="1"/>
  <c r="K172" i="1"/>
  <c r="M172" i="1" s="1"/>
  <c r="K173" i="1"/>
  <c r="M173" i="1" s="1"/>
  <c r="K174" i="1"/>
  <c r="M174" i="1" s="1"/>
  <c r="K175" i="1"/>
  <c r="M175" i="1" s="1"/>
  <c r="K176" i="1"/>
  <c r="M176" i="1" s="1"/>
  <c r="K177" i="1"/>
  <c r="M177" i="1" s="1"/>
  <c r="K178" i="1"/>
  <c r="M178" i="1" s="1"/>
  <c r="K179" i="1"/>
  <c r="M179" i="1" s="1"/>
  <c r="K180" i="1"/>
  <c r="M180" i="1" s="1"/>
  <c r="M183" i="1"/>
  <c r="K184" i="1"/>
  <c r="M184" i="1" s="1"/>
  <c r="K185" i="1"/>
  <c r="M185" i="1" s="1"/>
  <c r="K186" i="1"/>
  <c r="M186" i="1" s="1"/>
  <c r="H73" i="11" l="1"/>
  <c r="G220" i="17"/>
  <c r="F220" i="17"/>
  <c r="F8" i="11"/>
  <c r="D7" i="25" s="1"/>
  <c r="E7" i="25" s="1"/>
  <c r="K166" i="1"/>
  <c r="M166" i="1" s="1"/>
  <c r="K160" i="1"/>
  <c r="M160" i="1" s="1"/>
  <c r="K161" i="1"/>
  <c r="M161" i="1" s="1"/>
  <c r="K162" i="1"/>
  <c r="M162" i="1" s="1"/>
  <c r="K163" i="1"/>
  <c r="M163" i="1" s="1"/>
  <c r="K164" i="1"/>
  <c r="M164" i="1" s="1"/>
  <c r="K165" i="1"/>
  <c r="M165" i="1" s="1"/>
  <c r="K167" i="1"/>
  <c r="M167" i="1" s="1"/>
  <c r="F39" i="11" s="1"/>
  <c r="K168" i="1"/>
  <c r="M168" i="1" s="1"/>
  <c r="K169" i="1"/>
  <c r="M169" i="1" s="1"/>
  <c r="K187" i="1"/>
  <c r="M187" i="1" s="1"/>
  <c r="K188" i="1"/>
  <c r="M188" i="1" s="1"/>
  <c r="F212" i="17" l="1"/>
  <c r="G212" i="17"/>
  <c r="K142" i="1" l="1"/>
  <c r="M142" i="1" s="1"/>
  <c r="K141" i="1" l="1"/>
  <c r="M141" i="1" s="1"/>
  <c r="K143" i="1"/>
  <c r="M143" i="1" s="1"/>
  <c r="K144" i="1"/>
  <c r="M144" i="1" s="1"/>
  <c r="K145" i="1"/>
  <c r="M145" i="1" s="1"/>
  <c r="K146" i="1"/>
  <c r="M146" i="1" s="1"/>
  <c r="K147" i="1"/>
  <c r="M147" i="1" s="1"/>
  <c r="K148" i="1"/>
  <c r="M148" i="1" s="1"/>
  <c r="K149" i="1"/>
  <c r="M149" i="1" s="1"/>
  <c r="K150" i="1"/>
  <c r="M150" i="1" s="1"/>
  <c r="K151" i="1"/>
  <c r="M151" i="1" s="1"/>
  <c r="F18" i="11" s="1"/>
  <c r="K152" i="1"/>
  <c r="M152" i="1" s="1"/>
  <c r="K153" i="1"/>
  <c r="M153" i="1" s="1"/>
  <c r="K154" i="1"/>
  <c r="M154" i="1" s="1"/>
  <c r="K155" i="1"/>
  <c r="M155" i="1" s="1"/>
  <c r="K156" i="1"/>
  <c r="M156" i="1" s="1"/>
  <c r="K157" i="1"/>
  <c r="M157" i="1" s="1"/>
  <c r="K158" i="1"/>
  <c r="M158" i="1" s="1"/>
  <c r="K159" i="1"/>
  <c r="M159" i="1" s="1"/>
  <c r="I189" i="1" l="1"/>
  <c r="L189" i="1"/>
  <c r="H189" i="1"/>
  <c r="K129" i="1"/>
  <c r="M129" i="1" s="1"/>
  <c r="K130" i="1"/>
  <c r="M130" i="1" s="1"/>
  <c r="K125" i="1"/>
  <c r="M125" i="1" s="1"/>
  <c r="K126" i="1"/>
  <c r="M126" i="1" s="1"/>
  <c r="K127" i="1"/>
  <c r="M127" i="1" s="1"/>
  <c r="K128" i="1"/>
  <c r="M128" i="1" s="1"/>
  <c r="K131" i="1"/>
  <c r="M131" i="1" s="1"/>
  <c r="K132" i="1"/>
  <c r="M132" i="1" s="1"/>
  <c r="K133" i="1"/>
  <c r="M133" i="1" s="1"/>
  <c r="K134" i="1"/>
  <c r="M134" i="1" s="1"/>
  <c r="K135" i="1"/>
  <c r="M135" i="1" s="1"/>
  <c r="K136" i="1"/>
  <c r="M136" i="1" s="1"/>
  <c r="K137" i="1"/>
  <c r="M137" i="1" s="1"/>
  <c r="K138" i="1"/>
  <c r="M138" i="1" s="1"/>
  <c r="K139" i="1"/>
  <c r="M139" i="1" s="1"/>
  <c r="K140" i="1"/>
  <c r="M140" i="1" s="1"/>
  <c r="K124" i="1"/>
  <c r="M124" i="1" s="1"/>
  <c r="K114" i="1" l="1"/>
  <c r="M114" i="1" s="1"/>
  <c r="K115" i="1"/>
  <c r="M115" i="1" s="1"/>
  <c r="K116" i="1"/>
  <c r="M116" i="1" s="1"/>
  <c r="K117" i="1"/>
  <c r="M117" i="1" s="1"/>
  <c r="K118" i="1"/>
  <c r="M118" i="1" s="1"/>
  <c r="K119" i="1"/>
  <c r="M119" i="1" s="1"/>
  <c r="K120" i="1"/>
  <c r="M120" i="1" s="1"/>
  <c r="F30" i="11" s="1"/>
  <c r="K121" i="1"/>
  <c r="M121" i="1" s="1"/>
  <c r="K122" i="1"/>
  <c r="M122" i="1" s="1"/>
  <c r="K123" i="1"/>
  <c r="M123" i="1" s="1"/>
  <c r="G9" i="11" l="1"/>
  <c r="F7" i="11" l="1"/>
  <c r="F6" i="11"/>
  <c r="G7" i="11" l="1"/>
  <c r="D6" i="25"/>
  <c r="E6" i="25" s="1"/>
  <c r="G6" i="11"/>
  <c r="D5" i="25"/>
  <c r="K92" i="1"/>
  <c r="M92" i="1" s="1"/>
  <c r="K93" i="1"/>
  <c r="M93" i="1" s="1"/>
  <c r="K94" i="1"/>
  <c r="M94" i="1" s="1"/>
  <c r="K95" i="1"/>
  <c r="M95" i="1" s="1"/>
  <c r="K96" i="1"/>
  <c r="M96" i="1" s="1"/>
  <c r="K97" i="1"/>
  <c r="M97" i="1" s="1"/>
  <c r="K98" i="1"/>
  <c r="M98" i="1" s="1"/>
  <c r="K99" i="1"/>
  <c r="M99" i="1" s="1"/>
  <c r="K100" i="1"/>
  <c r="M100" i="1" s="1"/>
  <c r="K101" i="1"/>
  <c r="M101" i="1" s="1"/>
  <c r="K102" i="1"/>
  <c r="M102" i="1" s="1"/>
  <c r="K103" i="1"/>
  <c r="M103" i="1" s="1"/>
  <c r="K104" i="1"/>
  <c r="M104" i="1" s="1"/>
  <c r="K105" i="1"/>
  <c r="M105" i="1" s="1"/>
  <c r="K106" i="1"/>
  <c r="M106" i="1" s="1"/>
  <c r="F55" i="11" s="1"/>
  <c r="K107" i="1"/>
  <c r="M107" i="1" s="1"/>
  <c r="K108" i="1"/>
  <c r="M108" i="1" s="1"/>
  <c r="K109" i="1"/>
  <c r="M109" i="1" s="1"/>
  <c r="K110" i="1"/>
  <c r="M110" i="1" s="1"/>
  <c r="F5" i="11"/>
  <c r="K71" i="1"/>
  <c r="M71" i="1" s="1"/>
  <c r="K72" i="1"/>
  <c r="M72" i="1" s="1"/>
  <c r="K73" i="1"/>
  <c r="M73" i="1" s="1"/>
  <c r="K74" i="1"/>
  <c r="M74" i="1" s="1"/>
  <c r="K75" i="1"/>
  <c r="M75" i="1" s="1"/>
  <c r="K76" i="1"/>
  <c r="M76" i="1" s="1"/>
  <c r="K77" i="1"/>
  <c r="M77" i="1" s="1"/>
  <c r="K78" i="1"/>
  <c r="M78" i="1" s="1"/>
  <c r="K79" i="1"/>
  <c r="M79" i="1" s="1"/>
  <c r="K80" i="1"/>
  <c r="M80" i="1" s="1"/>
  <c r="K81" i="1"/>
  <c r="M81" i="1" s="1"/>
  <c r="K82" i="1"/>
  <c r="M82" i="1" s="1"/>
  <c r="K83" i="1"/>
  <c r="M83" i="1" s="1"/>
  <c r="K84" i="1"/>
  <c r="M84" i="1" s="1"/>
  <c r="K85" i="1"/>
  <c r="M85" i="1" s="1"/>
  <c r="K86" i="1"/>
  <c r="M86" i="1" s="1"/>
  <c r="K87" i="1"/>
  <c r="M87" i="1" s="1"/>
  <c r="F17" i="11" s="1"/>
  <c r="K88" i="1"/>
  <c r="M88" i="1" s="1"/>
  <c r="K89" i="1"/>
  <c r="M89" i="1" s="1"/>
  <c r="K90" i="1"/>
  <c r="M90" i="1" s="1"/>
  <c r="K70" i="1"/>
  <c r="M70" i="1" s="1"/>
  <c r="G5" i="11" l="1"/>
  <c r="D7" i="24"/>
  <c r="E5" i="25"/>
  <c r="D10" i="25"/>
  <c r="E10" i="25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F46" i="11" s="1"/>
  <c r="K62" i="1"/>
  <c r="M62" i="1" s="1"/>
  <c r="F45" i="11" s="1"/>
  <c r="D16" i="28" s="1"/>
  <c r="E16" i="28" s="1"/>
  <c r="K63" i="1"/>
  <c r="M63" i="1" s="1"/>
  <c r="K64" i="1"/>
  <c r="M64" i="1" s="1"/>
  <c r="K65" i="1"/>
  <c r="M65" i="1" s="1"/>
  <c r="K66" i="1"/>
  <c r="M66" i="1" s="1"/>
  <c r="F34" i="11" s="1"/>
  <c r="D19" i="28" s="1"/>
  <c r="E19" i="28" s="1"/>
  <c r="K67" i="1"/>
  <c r="M67" i="1" s="1"/>
  <c r="F22" i="11" s="1"/>
  <c r="K68" i="1"/>
  <c r="M68" i="1" s="1"/>
  <c r="K69" i="1"/>
  <c r="M69" i="1" s="1"/>
  <c r="K91" i="1"/>
  <c r="M91" i="1" s="1"/>
  <c r="K111" i="1"/>
  <c r="M111" i="1" s="1"/>
  <c r="F37" i="11" s="1"/>
  <c r="K112" i="1"/>
  <c r="M112" i="1" s="1"/>
  <c r="F26" i="11" s="1"/>
  <c r="K113" i="1"/>
  <c r="M113" i="1" s="1"/>
  <c r="K44" i="1"/>
  <c r="M44" i="1" s="1"/>
  <c r="K45" i="1"/>
  <c r="M45" i="1" s="1"/>
  <c r="K46" i="1"/>
  <c r="M46" i="1" s="1"/>
  <c r="K47" i="1"/>
  <c r="M47" i="1" s="1"/>
  <c r="K48" i="1"/>
  <c r="M48" i="1" s="1"/>
  <c r="K49" i="1"/>
  <c r="M49" i="1" s="1"/>
  <c r="F42" i="11" s="1"/>
  <c r="D13" i="28" s="1"/>
  <c r="E13" i="28" s="1"/>
  <c r="K50" i="1"/>
  <c r="M50" i="1" s="1"/>
  <c r="K51" i="1"/>
  <c r="M51" i="1" s="1"/>
  <c r="K52" i="1"/>
  <c r="M52" i="1" s="1"/>
  <c r="K53" i="1"/>
  <c r="M53" i="1" s="1"/>
  <c r="E7" i="24" l="1"/>
  <c r="D8" i="24"/>
  <c r="E8" i="24" s="1"/>
  <c r="F28" i="11"/>
  <c r="D8" i="28" s="1"/>
  <c r="E8" i="28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F21" i="11" s="1"/>
  <c r="D14" i="28" s="1"/>
  <c r="E14" i="28" s="1"/>
  <c r="K33" i="1"/>
  <c r="M33" i="1" s="1"/>
  <c r="F19" i="11" s="1"/>
  <c r="D15" i="28" s="1"/>
  <c r="E15" i="28" s="1"/>
  <c r="K34" i="1"/>
  <c r="M34" i="1" s="1"/>
  <c r="F48" i="11" s="1"/>
  <c r="D7" i="28" s="1"/>
  <c r="K35" i="1"/>
  <c r="M35" i="1" s="1"/>
  <c r="K36" i="1"/>
  <c r="M36" i="1" s="1"/>
  <c r="F31" i="11" s="1"/>
  <c r="D11" i="28" s="1"/>
  <c r="E11" i="28" s="1"/>
  <c r="K37" i="1"/>
  <c r="M37" i="1" s="1"/>
  <c r="K38" i="1"/>
  <c r="M38" i="1" s="1"/>
  <c r="G8" i="11"/>
  <c r="E51" i="11"/>
  <c r="G50" i="11"/>
  <c r="I50" i="11"/>
  <c r="E7" i="28" l="1"/>
  <c r="F13" i="11"/>
  <c r="D7" i="26" s="1"/>
  <c r="F15" i="11"/>
  <c r="D8" i="26" s="1"/>
  <c r="E8" i="26" s="1"/>
  <c r="G24" i="11"/>
  <c r="G25" i="11"/>
  <c r="K39" i="1"/>
  <c r="M39" i="1" s="1"/>
  <c r="F40" i="11" s="1"/>
  <c r="K40" i="1"/>
  <c r="M40" i="1" s="1"/>
  <c r="K41" i="1"/>
  <c r="M41" i="1" s="1"/>
  <c r="K42" i="1"/>
  <c r="M42" i="1" s="1"/>
  <c r="K19" i="1"/>
  <c r="M19" i="1" s="1"/>
  <c r="K18" i="1"/>
  <c r="M18" i="1" s="1"/>
  <c r="K17" i="1"/>
  <c r="M17" i="1" s="1"/>
  <c r="K16" i="1"/>
  <c r="M16" i="1" s="1"/>
  <c r="K15" i="1"/>
  <c r="M15" i="1" s="1"/>
  <c r="K14" i="1"/>
  <c r="M14" i="1" s="1"/>
  <c r="K13" i="1"/>
  <c r="M13" i="1" s="1"/>
  <c r="K12" i="1"/>
  <c r="M12" i="1" s="1"/>
  <c r="K11" i="1"/>
  <c r="M11" i="1" s="1"/>
  <c r="K10" i="1"/>
  <c r="M10" i="1" s="1"/>
  <c r="K9" i="1"/>
  <c r="M9" i="1" s="1"/>
  <c r="M8" i="1"/>
  <c r="K7" i="1"/>
  <c r="M7" i="1" s="1"/>
  <c r="K6" i="1"/>
  <c r="M6" i="1" s="1"/>
  <c r="D9" i="26" l="1"/>
  <c r="E9" i="26" s="1"/>
  <c r="E7" i="26"/>
  <c r="F16" i="11"/>
  <c r="D10" i="28" s="1"/>
  <c r="K23" i="1"/>
  <c r="M23" i="1" s="1"/>
  <c r="K24" i="1"/>
  <c r="M24" i="1" s="1"/>
  <c r="K25" i="1"/>
  <c r="M25" i="1" s="1"/>
  <c r="K26" i="1"/>
  <c r="M26" i="1" s="1"/>
  <c r="K43" i="1"/>
  <c r="M43" i="1" s="1"/>
  <c r="F32" i="11" s="1"/>
  <c r="E10" i="28" l="1"/>
  <c r="K22" i="1"/>
  <c r="M22" i="1" s="1"/>
  <c r="F23" i="11" s="1"/>
  <c r="D18" i="28" s="1"/>
  <c r="E18" i="28" s="1"/>
  <c r="K21" i="1" l="1"/>
  <c r="K189" i="1" s="1"/>
  <c r="M21" i="1" l="1"/>
  <c r="G168" i="17"/>
  <c r="F27" i="11" l="1"/>
  <c r="M189" i="1"/>
  <c r="G17" i="11"/>
  <c r="F51" i="11" l="1"/>
  <c r="D17" i="28"/>
  <c r="G133" i="17"/>
  <c r="E17" i="28" l="1"/>
  <c r="I47" i="11"/>
  <c r="G47" i="11" l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O189" i="22" s="1"/>
  <c r="C6" i="23" l="1"/>
  <c r="D6" i="23" s="1"/>
  <c r="E6" i="23" s="1"/>
  <c r="O191" i="22"/>
  <c r="P21" i="1"/>
  <c r="P22" i="1" s="1"/>
  <c r="P23" i="1" s="1"/>
  <c r="P24" i="1" s="1"/>
  <c r="F67" i="11"/>
  <c r="I55" i="11"/>
  <c r="G106" i="17"/>
  <c r="F106" i="17"/>
  <c r="C18" i="23" l="1"/>
  <c r="D192" i="22"/>
  <c r="D212" i="22" s="1"/>
  <c r="P25" i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P42" i="1" s="1"/>
  <c r="P43" i="1" s="1"/>
  <c r="G31" i="11"/>
  <c r="I48" i="11"/>
  <c r="P44" i="1" l="1"/>
  <c r="P45" i="1" s="1"/>
  <c r="P46" i="1" s="1"/>
  <c r="P47" i="1" s="1"/>
  <c r="P48" i="1" s="1"/>
  <c r="P49" i="1" s="1"/>
  <c r="P50" i="1" s="1"/>
  <c r="P51" i="1" s="1"/>
  <c r="P52" i="1" s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P80" i="1" s="1"/>
  <c r="P81" i="1" s="1"/>
  <c r="P82" i="1" s="1"/>
  <c r="P83" i="1" s="1"/>
  <c r="P84" i="1" s="1"/>
  <c r="P85" i="1" s="1"/>
  <c r="P86" i="1" s="1"/>
  <c r="P87" i="1" s="1"/>
  <c r="P88" i="1" s="1"/>
  <c r="P89" i="1" s="1"/>
  <c r="P90" i="1" s="1"/>
  <c r="P91" i="1" s="1"/>
  <c r="G48" i="11"/>
  <c r="F98" i="17"/>
  <c r="G98" i="17"/>
  <c r="P92" i="1" l="1"/>
  <c r="P93" i="1" s="1"/>
  <c r="P94" i="1" s="1"/>
  <c r="P95" i="1" s="1"/>
  <c r="P96" i="1" s="1"/>
  <c r="P97" i="1" s="1"/>
  <c r="P98" i="1" s="1"/>
  <c r="P99" i="1" s="1"/>
  <c r="P100" i="1" s="1"/>
  <c r="P101" i="1" s="1"/>
  <c r="P102" i="1" s="1"/>
  <c r="P103" i="1" s="1"/>
  <c r="P104" i="1" s="1"/>
  <c r="P105" i="1" s="1"/>
  <c r="P106" i="1" s="1"/>
  <c r="P107" i="1" s="1"/>
  <c r="P108" i="1" s="1"/>
  <c r="P109" i="1" s="1"/>
  <c r="P110" i="1" s="1"/>
  <c r="P111" i="1" s="1"/>
  <c r="P112" i="1" s="1"/>
  <c r="P113" i="1" s="1"/>
  <c r="P114" i="1" s="1"/>
  <c r="P115" i="1" s="1"/>
  <c r="P116" i="1" s="1"/>
  <c r="P117" i="1" s="1"/>
  <c r="P118" i="1" s="1"/>
  <c r="P119" i="1" s="1"/>
  <c r="P120" i="1" s="1"/>
  <c r="P121" i="1" s="1"/>
  <c r="P122" i="1" s="1"/>
  <c r="P123" i="1" s="1"/>
  <c r="P124" i="1" s="1"/>
  <c r="P125" i="1" s="1"/>
  <c r="P126" i="1" s="1"/>
  <c r="P127" i="1" s="1"/>
  <c r="P128" i="1" s="1"/>
  <c r="F68" i="11"/>
  <c r="I31" i="11"/>
  <c r="J31" i="11" s="1"/>
  <c r="J50" i="11"/>
  <c r="J61" i="11"/>
  <c r="I54" i="11"/>
  <c r="J54" i="11" s="1"/>
  <c r="J55" i="11"/>
  <c r="I56" i="11"/>
  <c r="J56" i="11" s="1"/>
  <c r="I58" i="11"/>
  <c r="J58" i="11" s="1"/>
  <c r="I59" i="11"/>
  <c r="J59" i="11" s="1"/>
  <c r="I60" i="11"/>
  <c r="J60" i="11" s="1"/>
  <c r="I52" i="11"/>
  <c r="J52" i="11" s="1"/>
  <c r="I53" i="11"/>
  <c r="J53" i="11" s="1"/>
  <c r="I22" i="11"/>
  <c r="J22" i="11" s="1"/>
  <c r="I24" i="11"/>
  <c r="J24" i="11" s="1"/>
  <c r="I25" i="11"/>
  <c r="J25" i="11" s="1"/>
  <c r="I27" i="11"/>
  <c r="J27" i="11" s="1"/>
  <c r="I33" i="11"/>
  <c r="J33" i="11" s="1"/>
  <c r="I34" i="11"/>
  <c r="J34" i="11" s="1"/>
  <c r="I35" i="11"/>
  <c r="J35" i="11" s="1"/>
  <c r="I36" i="11"/>
  <c r="J36" i="11" s="1"/>
  <c r="I39" i="11"/>
  <c r="J39" i="11" s="1"/>
  <c r="I41" i="11"/>
  <c r="J41" i="11" s="1"/>
  <c r="I43" i="11"/>
  <c r="J43" i="11" s="1"/>
  <c r="I44" i="11"/>
  <c r="J44" i="11" s="1"/>
  <c r="I45" i="11"/>
  <c r="J45" i="11" s="1"/>
  <c r="J47" i="11"/>
  <c r="J48" i="11"/>
  <c r="I14" i="11"/>
  <c r="J14" i="11" s="1"/>
  <c r="I18" i="11"/>
  <c r="J18" i="11" s="1"/>
  <c r="I20" i="11"/>
  <c r="J20" i="11" s="1"/>
  <c r="I17" i="11"/>
  <c r="J17" i="11" s="1"/>
  <c r="I29" i="11"/>
  <c r="J29" i="11" s="1"/>
  <c r="E21" i="28" l="1"/>
  <c r="D23" i="28"/>
  <c r="E23" i="28" s="1"/>
  <c r="P129" i="1"/>
  <c r="P130" i="1" s="1"/>
  <c r="P131" i="1" s="1"/>
  <c r="P132" i="1" s="1"/>
  <c r="P133" i="1" s="1"/>
  <c r="P134" i="1" s="1"/>
  <c r="P135" i="1" s="1"/>
  <c r="P136" i="1" s="1"/>
  <c r="P137" i="1" s="1"/>
  <c r="P138" i="1" s="1"/>
  <c r="P139" i="1" s="1"/>
  <c r="P140" i="1" s="1"/>
  <c r="I38" i="11"/>
  <c r="J38" i="11" s="1"/>
  <c r="K191" i="1"/>
  <c r="I37" i="11"/>
  <c r="J37" i="11" s="1"/>
  <c r="I21" i="11"/>
  <c r="J21" i="11" s="1"/>
  <c r="I26" i="11"/>
  <c r="J26" i="11" s="1"/>
  <c r="I30" i="11"/>
  <c r="J30" i="11" s="1"/>
  <c r="I19" i="11"/>
  <c r="J19" i="11" s="1"/>
  <c r="E65" i="11"/>
  <c r="P141" i="1" l="1"/>
  <c r="P142" i="1" s="1"/>
  <c r="P143" i="1" s="1"/>
  <c r="P144" i="1" s="1"/>
  <c r="P145" i="1" s="1"/>
  <c r="P146" i="1" s="1"/>
  <c r="P147" i="1" s="1"/>
  <c r="P148" i="1" s="1"/>
  <c r="P149" i="1" s="1"/>
  <c r="P150" i="1" s="1"/>
  <c r="P151" i="1" s="1"/>
  <c r="P152" i="1" s="1"/>
  <c r="P153" i="1" s="1"/>
  <c r="P154" i="1" s="1"/>
  <c r="P155" i="1" s="1"/>
  <c r="P156" i="1" s="1"/>
  <c r="P157" i="1" s="1"/>
  <c r="P158" i="1" s="1"/>
  <c r="P159" i="1" s="1"/>
  <c r="P160" i="1" s="1"/>
  <c r="P161" i="1" s="1"/>
  <c r="P162" i="1" s="1"/>
  <c r="P163" i="1" s="1"/>
  <c r="P164" i="1" s="1"/>
  <c r="I49" i="11"/>
  <c r="J49" i="11" s="1"/>
  <c r="I28" i="11"/>
  <c r="J28" i="11" s="1"/>
  <c r="P165" i="1" l="1"/>
  <c r="P166" i="1" s="1"/>
  <c r="P167" i="1" s="1"/>
  <c r="P168" i="1" s="1"/>
  <c r="P169" i="1" s="1"/>
  <c r="P170" i="1" s="1"/>
  <c r="P171" i="1" s="1"/>
  <c r="P172" i="1" s="1"/>
  <c r="P173" i="1" s="1"/>
  <c r="P174" i="1" s="1"/>
  <c r="P175" i="1" s="1"/>
  <c r="P176" i="1" s="1"/>
  <c r="P177" i="1" s="1"/>
  <c r="P178" i="1" s="1"/>
  <c r="P179" i="1" s="1"/>
  <c r="P180" i="1" s="1"/>
  <c r="P181" i="1" s="1"/>
  <c r="P182" i="1" s="1"/>
  <c r="P183" i="1" s="1"/>
  <c r="P184" i="1" s="1"/>
  <c r="P185" i="1" s="1"/>
  <c r="P186" i="1" s="1"/>
  <c r="P187" i="1" s="1"/>
  <c r="P188" i="1" s="1"/>
  <c r="I23" i="11"/>
  <c r="J23" i="11" s="1"/>
  <c r="I13" i="11"/>
  <c r="J13" i="11" s="1"/>
  <c r="I16" i="11"/>
  <c r="J16" i="11" s="1"/>
  <c r="I46" i="11"/>
  <c r="J46" i="11" s="1"/>
  <c r="I32" i="11" l="1"/>
  <c r="J32" i="11" s="1"/>
  <c r="I15" i="11"/>
  <c r="J15" i="11" s="1"/>
  <c r="I40" i="11" l="1"/>
  <c r="J40" i="11" s="1"/>
  <c r="G64" i="17"/>
  <c r="G47" i="17" l="1"/>
  <c r="F47" i="17"/>
  <c r="G13" i="17"/>
  <c r="I42" i="11" l="1"/>
  <c r="J42" i="11" s="1"/>
  <c r="G30" i="11"/>
  <c r="G36" i="11"/>
  <c r="G29" i="11" l="1"/>
  <c r="G42" i="11" l="1"/>
  <c r="G32" i="11" l="1"/>
  <c r="G28" i="11" l="1"/>
  <c r="F10" i="11" l="1"/>
  <c r="G10" i="11" s="1"/>
  <c r="G55" i="11"/>
  <c r="G54" i="11"/>
  <c r="F61" i="11" l="1"/>
  <c r="G56" i="11"/>
  <c r="F57" i="11"/>
  <c r="F70" i="11" s="1"/>
  <c r="F71" i="11" s="1"/>
  <c r="G18" i="11" l="1"/>
  <c r="G19" i="11"/>
  <c r="G20" i="11"/>
  <c r="G43" i="11"/>
  <c r="G26" i="11"/>
  <c r="G45" i="11"/>
  <c r="G22" i="11"/>
  <c r="G23" i="11"/>
  <c r="G34" i="11"/>
  <c r="G35" i="11"/>
  <c r="G37" i="11"/>
  <c r="G39" i="11"/>
  <c r="G40" i="11"/>
  <c r="E57" i="11"/>
  <c r="I57" i="11" s="1"/>
  <c r="J57" i="11" s="1"/>
  <c r="G14" i="11"/>
  <c r="G57" i="11" l="1"/>
  <c r="G38" i="11"/>
  <c r="G46" i="11"/>
  <c r="G49" i="11"/>
  <c r="G41" i="11"/>
  <c r="G21" i="11"/>
  <c r="E10" i="11"/>
  <c r="E61" i="11" s="1"/>
  <c r="G16" i="11"/>
  <c r="G15" i="11"/>
  <c r="E62" i="11" l="1"/>
  <c r="E63" i="11" s="1"/>
  <c r="G44" i="11"/>
  <c r="G27" i="11"/>
  <c r="G33" i="11"/>
  <c r="G13" i="11"/>
  <c r="G51" i="11" l="1"/>
  <c r="I51" i="11"/>
  <c r="J51" i="11" s="1"/>
  <c r="F62" i="11" l="1"/>
  <c r="G62" i="11" l="1"/>
  <c r="I62" i="11"/>
  <c r="J6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<sst xmlns="http://schemas.openxmlformats.org/spreadsheetml/2006/main" count="2471" uniqueCount="769">
  <si>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</si>
  <si>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</si>
  <si>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</si>
  <si>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</si>
  <si>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</si>
  <si>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</si>
  <si>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</si>
  <si>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</si>
  <si>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</si>
  <si>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</si>
  <si>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</si>
  <si>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</si>
  <si>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</si>
  <si>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</si>
  <si>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</si>
  <si>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</si>
  <si>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</si>
  <si>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</si>
  <si>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</si>
  <si>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</si>
  <si>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</si>
  <si>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</si>
  <si>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</si>
  <si>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</si>
  <si>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</si>
  <si>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</si>
  <si>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</si>
  <si>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</si>
  <si>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</si>
  <si>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</si>
  <si>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</si>
  <si>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</si>
  <si>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SUBS02</t>
  </si>
  <si>
    <t>LCB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</si>
  <si>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</si>
  <si>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</si>
  <si>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</si>
  <si>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</si>
  <si>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</si>
  <si>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</si>
  <si>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</si>
  <si>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</si>
  <si>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</si>
  <si>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</si>
  <si>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</si>
  <si>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</si>
  <si>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</si>
  <si>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</si>
  <si>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</si>
  <si>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</si>
  <si>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</si>
  <si>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>Allotment water</t>
  </si>
  <si>
    <t>ALL03</t>
  </si>
  <si>
    <t>Tree maintenance</t>
  </si>
  <si>
    <t>ALL04</t>
  </si>
  <si>
    <t>General maintenance</t>
  </si>
  <si>
    <t xml:space="preserve">Grounds Maintenance </t>
  </si>
  <si>
    <t>GM01</t>
  </si>
  <si>
    <t>GM02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</si>
  <si>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</si>
  <si>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</si>
  <si>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</si>
  <si>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</si>
  <si>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</si>
  <si>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</si>
  <si>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</si>
  <si>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</si>
  <si>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</si>
  <si>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</si>
  <si>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</si>
  <si>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</si>
  <si>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</si>
  <si>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</si>
  <si>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</si>
  <si>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</si>
  <si>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</si>
  <si>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</si>
  <si>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</si>
  <si>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</si>
  <si>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</si>
  <si>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</si>
  <si>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</si>
  <si>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</si>
  <si>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</si>
  <si>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</si>
  <si>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</si>
  <si>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</si>
  <si>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</si>
  <si>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</si>
  <si>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</si>
  <si>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</si>
  <si>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</si>
  <si>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</si>
  <si>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</si>
  <si>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</si>
  <si>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</si>
  <si>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</si>
  <si>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</si>
  <si>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</si>
  <si>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</si>
  <si>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</si>
  <si>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</si>
  <si>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</si>
  <si>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</si>
  <si>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</si>
  <si>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</si>
  <si>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</si>
  <si>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</si>
  <si>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</si>
  <si>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</si>
  <si>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</si>
  <si>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</si>
  <si>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</si>
  <si>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</si>
  <si>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</si>
  <si>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</si>
  <si>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</si>
  <si>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</si>
  <si>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</si>
  <si>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</si>
  <si>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</si>
  <si>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</si>
  <si>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</si>
  <si>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</si>
  <si>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</si>
  <si>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</si>
  <si>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</si>
  <si>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</si>
  <si>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</si>
  <si>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</si>
  <si>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</si>
  <si>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</si>
  <si>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</si>
  <si>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</si>
  <si>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</si>
  <si>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</si>
  <si>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</si>
  <si>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Tree Maintenance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</si>
  <si>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</si>
  <si>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</si>
  <si>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</si>
  <si>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</si>
  <si>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</si>
  <si>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</si>
  <si>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</si>
  <si>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</si>
  <si>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</si>
  <si>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</si>
  <si>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</si>
  <si>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</si>
  <si>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</si>
  <si>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</si>
  <si>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</si>
  <si>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</si>
  <si>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</si>
  <si>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</si>
  <si>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</si>
  <si>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</si>
  <si>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</si>
  <si>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</si>
  <si>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</si>
  <si>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</si>
  <si>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</si>
  <si>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</si>
  <si>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</si>
  <si>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</si>
  <si>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</si>
  <si>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</si>
  <si>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</si>
  <si>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</si>
  <si>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</si>
  <si>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</si>
  <si>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</si>
  <si>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</si>
  <si>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Hedge Maintenance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</si>
  <si>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</si>
  <si>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</si>
  <si>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</si>
  <si>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</si>
  <si>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</si>
  <si>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</si>
  <si>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</si>
  <si>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</si>
  <si>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</si>
  <si>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</si>
  <si>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</si>
  <si>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</si>
  <si>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</si>
  <si>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</si>
  <si>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</si>
  <si>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</si>
  <si>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</si>
  <si>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</si>
  <si>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</si>
  <si>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</si>
  <si>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</si>
  <si>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</si>
  <si>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</si>
  <si>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</si>
  <si>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</si>
  <si>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</si>
  <si>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</si>
  <si>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</si>
  <si>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</si>
  <si>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</si>
  <si>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</si>
  <si>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</si>
  <si>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</si>
  <si>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</si>
  <si>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</si>
  <si>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</si>
  <si>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</si>
  <si>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</si>
  <si>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</si>
  <si>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</si>
  <si>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</si>
  <si>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</si>
  <si>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</si>
  <si>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</si>
  <si>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</si>
  <si>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</si>
  <si>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</si>
  <si>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</si>
  <si>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</si>
  <si>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</si>
  <si>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</si>
  <si>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</si>
  <si>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</si>
  <si>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</si>
  <si>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</si>
  <si>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</si>
  <si>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</si>
  <si>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</si>
  <si>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</si>
  <si>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</si>
  <si>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</si>
  <si>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</si>
  <si>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</si>
  <si>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</si>
  <si>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</si>
  <si>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</si>
  <si>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</si>
  <si>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</si>
  <si>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</si>
  <si>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</si>
  <si>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</si>
  <si>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</si>
  <si>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</si>
  <si>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</si>
  <si>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</si>
  <si>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</si>
  <si>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</si>
  <si>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</si>
  <si>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</si>
  <si>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</si>
  <si>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</si>
  <si>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</si>
  <si>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</si>
  <si>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</si>
  <si>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</si>
  <si>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</si>
  <si>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</si>
  <si>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</si>
  <si>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</si>
  <si>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</si>
  <si>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</si>
  <si>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</si>
  <si>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</si>
  <si>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</si>
  <si>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</si>
  <si>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</si>
  <si>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</si>
  <si>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</si>
  <si>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</si>
  <si>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</si>
  <si>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</si>
  <si>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</si>
  <si>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</si>
  <si>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</si>
  <si>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</si>
  <si>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</si>
  <si>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</si>
  <si>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</si>
  <si>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</si>
  <si>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</si>
  <si>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</si>
  <si>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</si>
  <si>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</si>
  <si>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</si>
  <si>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</si>
  <si>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</si>
  <si>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</si>
  <si>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</si>
  <si>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</si>
  <si>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</si>
  <si>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</si>
  <si>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</si>
  <si>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</si>
  <si>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</si>
  <si>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</si>
  <si>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</si>
  <si>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</si>
  <si>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</si>
  <si>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</si>
  <si>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</si>
  <si>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</si>
  <si>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</si>
  <si>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</si>
  <si>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</si>
  <si>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</si>
  <si>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</si>
  <si>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</si>
  <si>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</si>
  <si>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</si>
  <si>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</si>
  <si>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</si>
  <si>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</si>
  <si>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</si>
  <si>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</si>
  <si>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</si>
  <si>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</si>
  <si>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</si>
  <si>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</si>
  <si>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</si>
  <si>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</si>
  <si>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</si>
  <si>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</si>
  <si>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</si>
  <si>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</si>
  <si>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</si>
  <si>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</si>
  <si>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</si>
  <si>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</si>
  <si>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</si>
  <si>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</si>
  <si>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</si>
  <si>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</si>
  <si>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</si>
  <si>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</si>
  <si>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</si>
  <si>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</si>
  <si>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</si>
  <si>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</si>
  <si>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</si>
  <si>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</si>
  <si>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</si>
  <si>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</si>
  <si>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</si>
  <si>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</si>
  <si>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</si>
  <si>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</si>
  <si>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</si>
  <si>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</si>
  <si>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</si>
  <si>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</si>
  <si>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</si>
  <si>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</si>
  <si>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</si>
  <si>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</si>
  <si>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</si>
  <si>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</si>
  <si>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</si>
  <si>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</si>
  <si>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</si>
  <si>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</si>
  <si>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</si>
  <si>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</si>
  <si>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</si>
  <si>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</si>
  <si>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</si>
  <si>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</si>
  <si>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</si>
  <si>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</si>
  <si>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</si>
  <si>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</si>
  <si>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</si>
  <si>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</si>
  <si>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</si>
  <si>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VAT_ AUG22-MAR23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</si>
  <si>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</si>
  <si>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</si>
  <si>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</si>
  <si>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</si>
  <si>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</si>
  <si>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</si>
  <si>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</si>
  <si>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</si>
  <si>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</si>
  <si>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</si>
  <si>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HMRC(Tax Mnth 1 2023-24)</t>
  </si>
  <si>
    <t>Clerk: March Pay</t>
  </si>
  <si>
    <t>Clerk: March Expense</t>
  </si>
  <si>
    <t>RFO: March  Pay</t>
  </si>
  <si>
    <t>Morag Birch(Tax Mnth 1 2023-24)</t>
  </si>
  <si>
    <t>J C Miles</t>
  </si>
  <si>
    <t>Allotment Mower Disposal &amp; Fuel</t>
  </si>
  <si>
    <t>T Stevens</t>
  </si>
  <si>
    <t>Mileage to deliver Councillor Nomination Forms to Chichester</t>
  </si>
  <si>
    <t>VAT126 AUG22-MAR23</t>
  </si>
  <si>
    <t>AGAR Box</t>
  </si>
  <si>
    <t>Box2</t>
  </si>
  <si>
    <t>Box3</t>
  </si>
  <si>
    <t>Box4</t>
  </si>
  <si>
    <t>Box6</t>
  </si>
  <si>
    <t>Box5</t>
  </si>
  <si>
    <t>Hillier Nurseries</t>
  </si>
  <si>
    <t>Mileage to collect Cherry Trees</t>
  </si>
  <si>
    <t>Compost for Cherry Trees</t>
  </si>
  <si>
    <t>Coronation Bench for Common View</t>
  </si>
  <si>
    <t>000001829</t>
  </si>
  <si>
    <t>Hall Rental 2022 -2023</t>
  </si>
  <si>
    <t>SWIPC2301</t>
  </si>
  <si>
    <t>5 x Cherry Trees for CV Playground</t>
  </si>
  <si>
    <t>Allotment Water Jan-Apr 2023</t>
  </si>
  <si>
    <t>2782149/2093652</t>
  </si>
  <si>
    <t>5 x Stakes_Ties for Cherry Trees</t>
  </si>
  <si>
    <t>Precept 2023-24 1st Installment</t>
  </si>
  <si>
    <t>Coronation Party Ale, Tea &amp; Coffee</t>
  </si>
  <si>
    <t>Coronation Party Dog Show</t>
  </si>
  <si>
    <t>CDC Coronation Grant</t>
  </si>
  <si>
    <t>Balance @ 31st March 2023</t>
  </si>
  <si>
    <t xml:space="preserve">2022/23 Budget </t>
  </si>
  <si>
    <t>Debtors/Creditors 2022/23</t>
  </si>
  <si>
    <t>Opening Balance for start of Accounting Year 2023/24</t>
  </si>
  <si>
    <t>Includes additional £500 from Fete</t>
  </si>
  <si>
    <t>No increase in Allotment rents</t>
  </si>
  <si>
    <t>Includes biennial charge for Domain name</t>
  </si>
  <si>
    <t>No increase this year as all equipment either new or recently repaired/refurbished</t>
  </si>
  <si>
    <t> Stedham with Iping Parish Council Budget 1 April 2023 to 31 March 2024</t>
  </si>
  <si>
    <t>2023/24 BUDGET FULL YEAR
(Exc VAT)</t>
  </si>
  <si>
    <t>Error:  amount not included in final budget</t>
  </si>
  <si>
    <t xml:space="preserve">Note:	 Section 137(4)(a) of the Local Government Act 1972 for parish and town councils in England for 2023-24 is £x.xx per elector, which is approximately £?? for Stedham with Iping. </t>
  </si>
  <si>
    <t>HMRC(Tax Mnth 2 2023-24)</t>
  </si>
  <si>
    <t>Morag Birch(Tax Mnth 2 2023-24)</t>
  </si>
  <si>
    <t>Clerk: April Pay</t>
  </si>
  <si>
    <t>Clerk: April Expense</t>
  </si>
  <si>
    <t>RFO: April  Pay</t>
  </si>
  <si>
    <t>New Councillor Training</t>
  </si>
  <si>
    <t>SLCC Annual Subscription</t>
  </si>
  <si>
    <t>MEM243675-1</t>
  </si>
  <si>
    <t>Geoxsphere Ltd</t>
  </si>
  <si>
    <t>Parish Online Annual Fee</t>
  </si>
  <si>
    <t>Coronation Paper Cups</t>
  </si>
  <si>
    <t>M H Kennedy &amp; Son</t>
  </si>
  <si>
    <t>April 23 Grasscut</t>
  </si>
  <si>
    <t>First Aid Kit for Parish Events</t>
  </si>
  <si>
    <t>General Parish Maintenance (Inc H&amp;S , Emergency Equipment)</t>
  </si>
  <si>
    <t>AED Pads (WEL Medical)</t>
  </si>
  <si>
    <t>Postage Election Expense Forms</t>
  </si>
  <si>
    <t>Amanda Hollings head</t>
  </si>
  <si>
    <t>Annual Parish Meeting Drinks</t>
  </si>
  <si>
    <t xml:space="preserve">Inc Parish Online, APM Costs, </t>
  </si>
  <si>
    <t>Annual Parish Meeting Food</t>
  </si>
  <si>
    <t>May 23 Grasscut</t>
  </si>
  <si>
    <t>HMRC(Tax Mnth 3 2023-24)</t>
  </si>
  <si>
    <t>Morag Birch(Tax Mnth 3 2023-24)</t>
  </si>
  <si>
    <t>Clerk: May Pay</t>
  </si>
  <si>
    <t>Clerk: May Expense</t>
  </si>
  <si>
    <t>RFO: May Pay</t>
  </si>
  <si>
    <t>2 x Picnic Tables for Common View</t>
  </si>
  <si>
    <t>1 x A1 A-Board Pavement Sign</t>
  </si>
  <si>
    <t>INV-Gb-136622421</t>
  </si>
  <si>
    <t>50 x 2nd Stamps &amp; Envelopes for Newsletter</t>
  </si>
  <si>
    <t>Blackdown Fernhurst Ltd</t>
  </si>
  <si>
    <t>Newsletter July 2023</t>
  </si>
  <si>
    <t>June 23 Grasscut</t>
  </si>
  <si>
    <t>Allotment Water Apr-Jul 2023</t>
  </si>
  <si>
    <t>2782149/2869898</t>
  </si>
  <si>
    <t>Clerk: June Pay</t>
  </si>
  <si>
    <t>Clerk: June Expense</t>
  </si>
  <si>
    <t>RFO: June Pay</t>
  </si>
  <si>
    <t>Chair's Training Course</t>
  </si>
  <si>
    <t>Annual Subscription 2023/24</t>
  </si>
  <si>
    <t>Hall Rental Apr-Jul 2023</t>
  </si>
  <si>
    <t>Statement</t>
  </si>
  <si>
    <t>July 23 Grasscut</t>
  </si>
  <si>
    <t>Precept 2023-24 2nd Installment</t>
  </si>
  <si>
    <t>Allotment 5 Annual Rent</t>
  </si>
  <si>
    <t>Annual Inspection</t>
  </si>
  <si>
    <t>WSCC</t>
  </si>
  <si>
    <t>Annual Rent CV Play Area &amp; Allotments</t>
  </si>
  <si>
    <t>Allotment &amp; Playground rent</t>
  </si>
  <si>
    <t>Stedham Sports Association</t>
  </si>
  <si>
    <t>External Audit 2022-23</t>
  </si>
  <si>
    <t>HMRC(Tax Mnth 4 2023-24)</t>
  </si>
  <si>
    <t>Morag Birch(Tax Mnth 4 2023-24)</t>
  </si>
  <si>
    <t>HMRC(Tax Mnth 5 2023-24)</t>
  </si>
  <si>
    <t>Morag Birch(Tax Mnth 5 2023-24)</t>
  </si>
  <si>
    <t>Clerk: July Pay</t>
  </si>
  <si>
    <t>Clerk: July Expense</t>
  </si>
  <si>
    <t>RFO: July Pay</t>
  </si>
  <si>
    <t>Clerk: August Pay</t>
  </si>
  <si>
    <t>Clerk: August Expense</t>
  </si>
  <si>
    <t>RFO: August Pay</t>
  </si>
  <si>
    <t>HMRC(Tax Mnth 6 2023-24)</t>
  </si>
  <si>
    <t>Morag Birch(Tax Mnth 6 2023-24)</t>
  </si>
  <si>
    <t>I270651</t>
  </si>
  <si>
    <t>Allotment 2 Annual Rent</t>
  </si>
  <si>
    <t>Allotment 8 Annual Rent</t>
  </si>
  <si>
    <t>Allotment 7 Annual Rent</t>
  </si>
  <si>
    <t>August 23 Grasscut</t>
  </si>
  <si>
    <t>Allotment 1X Annual Rent</t>
  </si>
  <si>
    <t>Allotment 1A Annual Rent</t>
  </si>
  <si>
    <t>Information Commissioner's Office(ICO)</t>
  </si>
  <si>
    <t>Annual Data Protection Fee (Direct Debit)</t>
  </si>
  <si>
    <t>Allotment 4A Annual Rent</t>
  </si>
  <si>
    <t>Allotment 9 Annual Rent</t>
  </si>
  <si>
    <t>2021-23 Int Audit £165. Ext Audit 2021-22 £200(Exc VAT)</t>
  </si>
  <si>
    <t>Allotments 3, 4, 5A &amp; 10A annual Rent (Cash Payments)</t>
  </si>
  <si>
    <t>Allotment 7A Annual Rent</t>
  </si>
  <si>
    <t>Allotment 6A Annual Rent</t>
  </si>
  <si>
    <t>Allotment Water Jul-Oct 2023</t>
  </si>
  <si>
    <t>SDNPA CIL Grant Payment</t>
  </si>
  <si>
    <t>J Simon</t>
  </si>
  <si>
    <t>Neswsletter November 23 &amp; Insert</t>
  </si>
  <si>
    <t>Installation Play Equipment Common View</t>
  </si>
  <si>
    <t>Allotments 9A &amp; 10  annual Rent (Cash Payments)</t>
  </si>
  <si>
    <t>Allotment 2A Annual Rent</t>
  </si>
  <si>
    <t>Allotment 6 Annual Rent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</si>
  <si>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</si>
  <si>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</si>
  <si>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</si>
  <si>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</si>
  <si>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CIL Grant</t>
  </si>
  <si>
    <t>Budgeted for in 2022-23</t>
  </si>
  <si>
    <t>Mulled Wine  SSA Fireworks 291023</t>
  </si>
  <si>
    <t>HMRC(Tax Mnth 7 2023-24)</t>
  </si>
  <si>
    <t>Morag Birch(Tax Mnth 7 2023-24)</t>
  </si>
  <si>
    <t>Clerk: September Pay</t>
  </si>
  <si>
    <t>RFO: September Pay</t>
  </si>
  <si>
    <t>Clerk: October Pay</t>
  </si>
  <si>
    <t>HMRC(Tax Mnth 8 2023-24)</t>
  </si>
  <si>
    <t>Morag Birch(Tax Mnth 8 2023-24)</t>
  </si>
  <si>
    <t>Clerk: October Expense</t>
  </si>
  <si>
    <t>RFO:October Pay</t>
  </si>
  <si>
    <t>RFO: October Pay</t>
  </si>
  <si>
    <t>Clerk: September Expense</t>
  </si>
  <si>
    <t>Election Costs 2023</t>
  </si>
  <si>
    <t>1029846X</t>
  </si>
  <si>
    <t>Christmas Tree Common View</t>
  </si>
  <si>
    <t>Jessica Simon</t>
  </si>
  <si>
    <t>Stationery - Consumables</t>
  </si>
  <si>
    <t>Increase in CDC charges</t>
  </si>
  <si>
    <t>HMRC(Tax Mnth 9 2023-24)</t>
  </si>
  <si>
    <t>Morag Birch(Tax Mnth 9 2023-24)</t>
  </si>
  <si>
    <t>Clerk: November Pay</t>
  </si>
  <si>
    <t>Clerk: November Expense</t>
  </si>
  <si>
    <t>RFO: November Pay</t>
  </si>
  <si>
    <t>Tea Club 11th December 2023 - Tillys Costs</t>
  </si>
  <si>
    <t>Tea Club 11th December 2023 - Additional Food &amp; Consumables</t>
  </si>
  <si>
    <t>DataCenta Hosting</t>
  </si>
  <si>
    <t>LC-905 Annual Service Charge</t>
  </si>
  <si>
    <t>Terry Stevens</t>
  </si>
  <si>
    <t>Replacement Christmas Tree for Recreation Ground</t>
  </si>
  <si>
    <t>2 x Batteries for Xmas Tree Lights</t>
  </si>
  <si>
    <t>Padlock for battery box</t>
  </si>
  <si>
    <t>Tea Club 11th Dec 23 - Donations</t>
  </si>
  <si>
    <t>Litter Pick 19th Nov - Tea &amp; Biscuits</t>
  </si>
  <si>
    <t xml:space="preserve">September 23 Grasscut </t>
  </si>
  <si>
    <t xml:space="preserve">October 23 Grasscut </t>
  </si>
  <si>
    <t>Room hire for Tea Club 18/09/23</t>
  </si>
  <si>
    <t>Tea Club 180923 Food &amp; Drink</t>
  </si>
  <si>
    <t>Tea Club 180923 Consumables</t>
  </si>
  <si>
    <t>Tea Club 180923 Food</t>
  </si>
  <si>
    <t>Tea Club 11th December - Hire of hall</t>
  </si>
  <si>
    <t>BAC</t>
  </si>
  <si>
    <t>Stedham WI</t>
  </si>
  <si>
    <t>WI Xmas Fair - Gross Receipts</t>
  </si>
  <si>
    <t>WI Xmas Fair - Table Rent</t>
  </si>
  <si>
    <t>£55-£6.20 = £48.80</t>
  </si>
  <si>
    <t>Purchase of Willow Whips for Dome in CV playground</t>
  </si>
  <si>
    <t>Morag Birch(Tax Mnth 10 2023-24)</t>
  </si>
  <si>
    <t>HMRC(Tax Mnth 10 2023-24)</t>
  </si>
  <si>
    <t>Clerk: December Pay</t>
  </si>
  <si>
    <t>Clerk: December Expense</t>
  </si>
  <si>
    <t>RFO: December Pay</t>
  </si>
  <si>
    <t>GB41GW4RAEUI</t>
  </si>
  <si>
    <t>2 Packs Laminating Pouches</t>
  </si>
  <si>
    <t>Allotment Water Oct 2023=Jan 2024</t>
  </si>
  <si>
    <t>2 x NALC Training Courses</t>
  </si>
  <si>
    <t>Neil Shuff</t>
  </si>
  <si>
    <t>Repair of 2 x Notice Boards</t>
  </si>
  <si>
    <t>Inc First Aid Kit, AED Pads(Not included in original budget). £225 for repair of 2 Notice Boards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</si>
  <si>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</si>
  <si>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</si>
  <si>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</si>
  <si>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</si>
  <si>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</si>
  <si>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</si>
  <si>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</si>
  <si>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</si>
  <si>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Premium 2024-25</t>
  </si>
  <si>
    <t>Annual Tree&amp;Hedge Maintenace</t>
  </si>
  <si>
    <t>Wondershare PDF Element Annual Subscription</t>
  </si>
  <si>
    <t>INV24060000322E</t>
  </si>
  <si>
    <t>HMRC(Tax Mnth 11 2023-24)</t>
  </si>
  <si>
    <t>Morag Birch(Tax Mnth 11 2023-24)</t>
  </si>
  <si>
    <t>Morag Birch(Tax Mnth 1012023-24)</t>
  </si>
  <si>
    <t>Clerk: January Pay</t>
  </si>
  <si>
    <t>Clerk: January Expense</t>
  </si>
  <si>
    <t>RFO: January Pay</t>
  </si>
  <si>
    <t>VAT_APR23-FEB24</t>
  </si>
  <si>
    <t>VAT126 Claim Apr23-Feb24</t>
  </si>
  <si>
    <t>New playground equipment &amp; itemised list fof all "new" play equipment</t>
  </si>
  <si>
    <t>Printing Newsletter march 2024</t>
  </si>
  <si>
    <t>Zurich Insurance</t>
  </si>
  <si>
    <t>VAT126 Claim 1st April 2023 to 29th February 2024 (VAT126 APR23-FEB24)</t>
  </si>
  <si>
    <t>HMRC(Tax Mnth 12 2023-24)</t>
  </si>
  <si>
    <t>Morag Birch(Tax Mnth 12 2023-24)</t>
  </si>
  <si>
    <t>Clerk: February Pay</t>
  </si>
  <si>
    <t>Clerk: February Expense</t>
  </si>
  <si>
    <t>RFO: February Pay</t>
  </si>
  <si>
    <t xml:space="preserve">Bin Emptying 2023-24 </t>
  </si>
  <si>
    <t>Stamps &amp; Stationery</t>
  </si>
  <si>
    <t>Tea Club Receipts 25/03 2024</t>
  </si>
  <si>
    <t>Tea Club Hall Hire 25/03/2024</t>
  </si>
  <si>
    <t>VAT126 Claim 1st March 2024 to 31st March 2024 (VAT126 Mar24)</t>
  </si>
  <si>
    <t>VAT_MAR24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</si>
  <si>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</si>
  <si>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</si>
  <si>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</si>
  <si>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</si>
  <si>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</si>
  <si>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</si>
  <si>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</si>
  <si>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</si>
  <si>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</si>
  <si>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</si>
  <si>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</si>
  <si>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</si>
  <si>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</si>
  <si>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</si>
  <si>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</si>
  <si>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M H Kennedy</t>
  </si>
  <si>
    <t>Grasscut March 2024</t>
  </si>
  <si>
    <t>2024-25</t>
  </si>
  <si>
    <t>Annual Subscription 2024/25</t>
  </si>
  <si>
    <t>248545-1</t>
  </si>
  <si>
    <t>Precept 2024-25 1st Installment</t>
  </si>
  <si>
    <t>Tea Club Consumables  25/03 2024</t>
  </si>
  <si>
    <t>Allotment Water Jan 2024=Apr 2024</t>
  </si>
  <si>
    <t>Bank Balance @ 31st March 2024</t>
  </si>
  <si>
    <t>VAT 126 ClaimApril23 to February24</t>
  </si>
  <si>
    <t>Bank Balance @19th April 2024</t>
  </si>
  <si>
    <t>Inc 2024-25 Subs</t>
  </si>
  <si>
    <t>Need to combine GM02 &amp; GM06
Inc 2024-25 work</t>
  </si>
  <si>
    <t>Bank Balance @ 19th April 2024</t>
  </si>
  <si>
    <t>Plus/Minus 2024-25 activity not inc in Budget</t>
  </si>
  <si>
    <t>ANALYSIS (inc VAT)</t>
  </si>
  <si>
    <t>Precept</t>
  </si>
  <si>
    <t>Other receipts</t>
  </si>
  <si>
    <t>Staff Salaries</t>
  </si>
  <si>
    <t>Other Payments(inc Office Exp)</t>
  </si>
  <si>
    <t>Loan</t>
  </si>
  <si>
    <t>Not in end totals</t>
  </si>
  <si>
    <t>Remove 2024/25 items</t>
  </si>
  <si>
    <t>Opening Debtors/Creditors</t>
  </si>
  <si>
    <t>Return Figures</t>
  </si>
  <si>
    <t>Brought Forward</t>
  </si>
  <si>
    <t>Net Income</t>
  </si>
  <si>
    <t>Carried Forward</t>
  </si>
  <si>
    <t>Reconciliation of Box 7 and Box 8 on Annual Return</t>
  </si>
  <si>
    <t>Box 7</t>
  </si>
  <si>
    <t>Net funds</t>
  </si>
  <si>
    <t>Less Debtors</t>
  </si>
  <si>
    <t>Plus Creditors</t>
  </si>
  <si>
    <t>Box 8</t>
  </si>
  <si>
    <t>Bank balance per bank reconciliation @ 31/03/2024</t>
  </si>
  <si>
    <t>M Birch Pay &amp; Exp Mar2024</t>
  </si>
  <si>
    <t xml:space="preserve">M Birch </t>
  </si>
  <si>
    <t>Total borrowing</t>
  </si>
  <si>
    <t>Box 10</t>
  </si>
  <si>
    <t>See explanations Box 9</t>
  </si>
  <si>
    <t>Fixed assets</t>
  </si>
  <si>
    <t>Box 9</t>
  </si>
  <si>
    <t xml:space="preserve">Total cash </t>
  </si>
  <si>
    <t>Balances c/f</t>
  </si>
  <si>
    <t>See explanations Box 6</t>
  </si>
  <si>
    <t>Other payments</t>
  </si>
  <si>
    <t>Box 6</t>
  </si>
  <si>
    <t>Final payment in 26/05/2020</t>
  </si>
  <si>
    <t>PWLB Loan</t>
  </si>
  <si>
    <t>Box 5</t>
  </si>
  <si>
    <t>See explanations Box 4</t>
  </si>
  <si>
    <t>Staff costs</t>
  </si>
  <si>
    <t>Box 4</t>
  </si>
  <si>
    <t>See explanations Box 3</t>
  </si>
  <si>
    <t>Box 3</t>
  </si>
  <si>
    <t>Box 2</t>
  </si>
  <si>
    <t>Balances b/f</t>
  </si>
  <si>
    <t>Box 1</t>
  </si>
  <si>
    <t>boxes 2/3/4/5/6/9/10</t>
  </si>
  <si>
    <t>%</t>
  </si>
  <si>
    <t>£</t>
  </si>
  <si>
    <t>Explain variances over 15% (if more than £500)</t>
  </si>
  <si>
    <t xml:space="preserve">Variance </t>
  </si>
  <si>
    <t>2022/23</t>
  </si>
  <si>
    <t>2021/22</t>
  </si>
  <si>
    <t>Section 1</t>
  </si>
  <si>
    <t>Stedham with Iping Parish Council</t>
  </si>
  <si>
    <t>Explanation of variance</t>
  </si>
  <si>
    <t>Difference</t>
  </si>
  <si>
    <t>Stedham wth Iping Parish Council</t>
  </si>
  <si>
    <t>VAT126</t>
  </si>
  <si>
    <t>Interest</t>
  </si>
  <si>
    <t>Other Income</t>
  </si>
  <si>
    <t>Grants (CIL)</t>
  </si>
  <si>
    <t>Allotment rent</t>
  </si>
  <si>
    <t xml:space="preserve">Box 3 </t>
  </si>
  <si>
    <t>Increase in hourly rate</t>
  </si>
  <si>
    <t>Staff(RFO) salary</t>
  </si>
  <si>
    <t>Staff(Clerk) salary including overtime</t>
  </si>
  <si>
    <t>explanation of variance</t>
  </si>
  <si>
    <t>VAT</t>
  </si>
  <si>
    <t>Grants to Parish Organisations</t>
  </si>
  <si>
    <t>Playgrounds management</t>
  </si>
  <si>
    <t>Grounds/property maintenance</t>
  </si>
  <si>
    <t>Election costs</t>
  </si>
  <si>
    <t>Hall hire</t>
  </si>
  <si>
    <t>Audit</t>
  </si>
  <si>
    <t>Office Expenses</t>
  </si>
  <si>
    <t>Stopped subscription 2022</t>
  </si>
  <si>
    <t>Video Conferencing application</t>
  </si>
  <si>
    <t>Newsletter, other communications to all parishioners</t>
  </si>
  <si>
    <t>Delta</t>
  </si>
  <si>
    <t>Bank balance per Reconciliation</t>
  </si>
  <si>
    <r>
      <rPr>
        <b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(Funds-Debtors+Creditors)</t>
    </r>
  </si>
  <si>
    <t>VAT Refund</t>
  </si>
  <si>
    <t>Net Funds</t>
  </si>
  <si>
    <t>1`</t>
  </si>
  <si>
    <t>Paid Out</t>
  </si>
  <si>
    <t>Paid In</t>
  </si>
  <si>
    <t>Bank Statements</t>
  </si>
  <si>
    <t>Closing balance as per Cash Book</t>
  </si>
  <si>
    <t>Add: Receipts in the year</t>
  </si>
  <si>
    <t>Less: Payments in the year</t>
  </si>
  <si>
    <t>Cash Book</t>
  </si>
  <si>
    <t xml:space="preserve"> </t>
  </si>
  <si>
    <t>Lloyds Current Account</t>
  </si>
  <si>
    <t>BANK RECONCILIATION</t>
  </si>
  <si>
    <t>STEDHAM WITH IPING PARISH COUNCIL</t>
  </si>
  <si>
    <t>2023/24</t>
  </si>
  <si>
    <t>Prepared by Morag Birch Clerk &amp; Responsible Finance Officer April 2024</t>
  </si>
  <si>
    <t>Financial Year Ending 31st March 2024</t>
  </si>
  <si>
    <t>Balance as per Bank Statement 31st March 2024</t>
  </si>
  <si>
    <t>Less Uncleared Payments at 31st March 2024</t>
  </si>
  <si>
    <t>Add Income for 2023/24 but not cleared</t>
  </si>
  <si>
    <t>Opening Balance 1st April 2023</t>
  </si>
  <si>
    <t>Net Balance as at 31st March 2024</t>
  </si>
  <si>
    <t>SDNPA CIL Grant of £9000 received 26/10/23</t>
  </si>
  <si>
    <t>Coronation grant, Including £50.71 re-imbursement from SSA. Donations from Tea Club, WI Xmas Fair</t>
  </si>
  <si>
    <t>Purchase of play equipment in 2023/24 ~£14k(inc VAT)</t>
  </si>
  <si>
    <t>General administration, Subscriptions, Insurance, Website, Email Accounts, Data management</t>
  </si>
  <si>
    <t>Increased size of Newsletter</t>
  </si>
  <si>
    <t>Reduced cost of Coronation Fete cf Jubilee Fete in 2022</t>
  </si>
  <si>
    <t>Refurbishment of Iping telephone box (~£3k) not carried out</t>
  </si>
  <si>
    <t>Training for 1 new Councillor &amp; new Chair</t>
  </si>
  <si>
    <t>Increased fees ~43%</t>
  </si>
  <si>
    <t>Reduced number of meetings &amp; rates</t>
  </si>
  <si>
    <t>Election year</t>
  </si>
  <si>
    <t>VAT reclaim £2278 on new playground equipment cf £3458 in 2022/23</t>
  </si>
  <si>
    <t>New play equipment (£11,390), Two new picnic tables (£600)</t>
  </si>
  <si>
    <t xml:space="preserve">Inc £500 Coronation Grant, Receipts from Coronation Fete, Donations &amp; fees from Tea Club </t>
  </si>
  <si>
    <t>Remove 2024-2025 Items</t>
  </si>
  <si>
    <t>Purchased new equipment £11,390 (exc VAT). Reduced maintenance costs on play equipment as substantail maintenance carried out 2022/23</t>
  </si>
  <si>
    <t>No applications for grants</t>
  </si>
  <si>
    <t>Correct VAT from 11.90 to 11.99</t>
  </si>
  <si>
    <t>Increase to inc repair of Iping Tel Box. 2xPicnic Tables. Inc £52 for Willow Whips for re-purposed metal dome. Unable to complete refurbishment of Iping Tel Box.</t>
  </si>
  <si>
    <t>Carry Forward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</si>
</sst>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£&quot;#,##0_);\(&quot;£&quot;#,##0\)"/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43" formatCode="_(* #,##0.00_);_(* \(#,##0.00\);_(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  <numFmt numFmtId="169" formatCode="_-* #,##0_-;\-* #,##0_-;_-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u/>
      <sz val="11"/>
      <name val="Arial"/>
      <family val="2"/>
    </font>
    <font>
      <sz val="11"/>
      <color indexed="8"/>
      <name val="Arial"/>
      <family val="2"/>
    </font>
    <font>
      <i/>
      <sz val="1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  <xf numFmtId="0" fontId="30" fillId="0" borderId="0"/>
    <xf numFmtId="43" fontId="1" fillId="0" borderId="0" applyFont="0" applyFill="0" applyBorder="0" applyAlignment="0" applyProtection="0"/>
  </cellStyleXfs>
  <cellXfs count="409">
    <xf numFmtId="0" fontId="0" fillId="0" borderId="0" xfId="0"/>
    <xf numFmtId="164" fontId="0" fillId="0" borderId="0" xfId="1" applyFont="1"/>
    <xf numFmtId="164" fontId="0" fillId="0" borderId="0" xfId="1" applyFont="1" applyFill="1"/>
    <xf numFmtId="164" fontId="0" fillId="2" borderId="0" xfId="1" applyFont="1" applyFill="1"/>
    <xf numFmtId="164" fontId="0" fillId="3" borderId="0" xfId="1" applyFont="1" applyFill="1"/>
    <xf numFmtId="164" fontId="0" fillId="0" borderId="1" xfId="1" applyFont="1" applyBorder="1"/>
    <xf numFmtId="164" fontId="0" fillId="3" borderId="1" xfId="1" applyFont="1" applyFill="1" applyBorder="1"/>
    <xf numFmtId="164" fontId="0" fillId="0" borderId="1" xfId="1" applyFont="1" applyFill="1" applyBorder="1"/>
    <xf numFmtId="164" fontId="2" fillId="2" borderId="1" xfId="1" applyFont="1" applyFill="1" applyBorder="1"/>
    <xf numFmtId="164" fontId="5" fillId="2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4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6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6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6" xfId="0" applyNumberFormat="1" applyFont="1" applyBorder="1" applyAlignment="1">
      <alignment vertical="top"/>
    </xf>
    <xf numFmtId="0" fontId="7" fillId="4" borderId="6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166" fontId="7" fillId="4" borderId="1" xfId="0" applyNumberFormat="1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6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1" fillId="0" borderId="1" xfId="0" applyNumberFormat="1" applyFont="1" applyBorder="1" applyAlignment="1">
      <alignment vertical="top" wrapText="1"/>
    </xf>
    <xf numFmtId="167" fontId="12" fillId="0" borderId="6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166" fontId="11" fillId="0" borderId="1" xfId="0" applyNumberFormat="1" applyFont="1" applyBorder="1" applyAlignment="1">
      <alignment vertical="top" wrapText="1"/>
    </xf>
    <xf numFmtId="0" fontId="8" fillId="0" borderId="6" xfId="0" applyFont="1" applyBorder="1" applyAlignment="1">
      <alignment horizontal="left" vertical="top"/>
    </xf>
    <xf numFmtId="167" fontId="11" fillId="0" borderId="6" xfId="0" applyNumberFormat="1" applyFont="1" applyBorder="1" applyAlignment="1">
      <alignment horizontal="left" vertical="top"/>
    </xf>
    <xf numFmtId="0" fontId="7" fillId="0" borderId="6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166" fontId="8" fillId="0" borderId="1" xfId="0" applyNumberFormat="1" applyFont="1" applyBorder="1" applyAlignment="1">
      <alignment vertical="top" wrapText="1"/>
    </xf>
    <xf numFmtId="0" fontId="4" fillId="0" borderId="6" xfId="0" applyFont="1" applyBorder="1" applyAlignment="1">
      <alignment horizontal="left" vertical="top"/>
    </xf>
    <xf numFmtId="0" fontId="4" fillId="0" borderId="0" xfId="0" applyFont="1" applyAlignment="1">
      <alignment vertical="top"/>
    </xf>
    <xf numFmtId="0" fontId="11" fillId="0" borderId="6" xfId="0" applyFont="1" applyBorder="1" applyAlignment="1">
      <alignment horizontal="left" vertical="top"/>
    </xf>
    <xf numFmtId="167" fontId="11" fillId="0" borderId="6" xfId="0" applyNumberFormat="1" applyFont="1" applyBorder="1" applyAlignment="1">
      <alignment vertical="top"/>
    </xf>
    <xf numFmtId="0" fontId="12" fillId="4" borderId="6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6" xfId="0" applyFont="1" applyBorder="1" applyAlignment="1">
      <alignment vertical="top" wrapText="1"/>
    </xf>
    <xf numFmtId="0" fontId="15" fillId="0" borderId="6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6" xfId="0" applyFont="1" applyBorder="1" applyAlignment="1">
      <alignment vertical="top" wrapText="1"/>
    </xf>
    <xf numFmtId="0" fontId="18" fillId="4" borderId="6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6" xfId="0" applyFont="1" applyBorder="1" applyAlignment="1">
      <alignment horizontal="left" vertical="top"/>
    </xf>
    <xf numFmtId="0" fontId="19" fillId="0" borderId="6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6" xfId="0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horizontal="right" vertical="top" wrapText="1"/>
    </xf>
    <xf numFmtId="167" fontId="20" fillId="0" borderId="8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9" xfId="0" applyNumberFormat="1" applyFont="1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4" fontId="3" fillId="0" borderId="0" xfId="1" applyFont="1" applyBorder="1"/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164" fontId="0" fillId="0" borderId="2" xfId="1" applyFont="1" applyFill="1" applyBorder="1"/>
    <xf numFmtId="164" fontId="0" fillId="0" borderId="0" xfId="1" applyFont="1" applyFill="1" applyBorder="1"/>
    <xf numFmtId="166" fontId="8" fillId="0" borderId="1" xfId="0" applyNumberFormat="1" applyFont="1" applyBorder="1" applyAlignment="1">
      <alignment vertical="top"/>
    </xf>
    <xf numFmtId="8" fontId="8" fillId="0" borderId="1" xfId="0" applyNumberFormat="1" applyFont="1" applyBorder="1" applyAlignment="1">
      <alignment vertical="top"/>
    </xf>
    <xf numFmtId="164" fontId="0" fillId="7" borderId="1" xfId="1" applyFont="1" applyFill="1" applyBorder="1"/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4" fontId="0" fillId="0" borderId="1" xfId="0" applyNumberFormat="1" applyBorder="1"/>
    <xf numFmtId="167" fontId="7" fillId="0" borderId="6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164" fontId="0" fillId="3" borderId="2" xfId="1" applyFont="1" applyFill="1" applyBorder="1"/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/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8" borderId="1" xfId="0" applyFill="1" applyBorder="1"/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7" borderId="1" xfId="0" applyFill="1" applyBorder="1"/>
    <xf numFmtId="0" fontId="0" fillId="7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0" fontId="0" fillId="8" borderId="1" xfId="0" applyFill="1" applyBorder="1" applyAlignment="1">
      <alignment vertical="top"/>
    </xf>
    <xf numFmtId="1" fontId="0" fillId="7" borderId="1" xfId="0" applyNumberFormat="1" applyFill="1" applyBorder="1"/>
    <xf numFmtId="0" fontId="0" fillId="7" borderId="2" xfId="0" applyFill="1" applyBorder="1"/>
    <xf numFmtId="164" fontId="25" fillId="7" borderId="2" xfId="1" applyFont="1" applyFill="1" applyBorder="1"/>
    <xf numFmtId="164" fontId="2" fillId="7" borderId="2" xfId="1" applyFont="1" applyFill="1" applyBorder="1"/>
    <xf numFmtId="164" fontId="0" fillId="7" borderId="2" xfId="1" applyFont="1" applyFill="1" applyBorder="1"/>
    <xf numFmtId="0" fontId="19" fillId="0" borderId="11" xfId="0" applyFont="1" applyBorder="1" applyAlignment="1">
      <alignment vertical="top" wrapText="1"/>
    </xf>
    <xf numFmtId="0" fontId="21" fillId="0" borderId="12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3" xfId="1" applyFont="1" applyFill="1" applyBorder="1" applyAlignment="1">
      <alignment vertical="top"/>
    </xf>
    <xf numFmtId="40" fontId="0" fillId="2" borderId="13" xfId="5" applyNumberFormat="1" applyFont="1" applyFill="1" applyBorder="1" applyAlignment="1">
      <alignment vertical="top"/>
    </xf>
    <xf numFmtId="164" fontId="11" fillId="0" borderId="8" xfId="1" applyFont="1" applyFill="1" applyBorder="1" applyAlignment="1">
      <alignment vertical="top"/>
    </xf>
    <xf numFmtId="40" fontId="11" fillId="2" borderId="8" xfId="0" applyNumberFormat="1" applyFont="1" applyFill="1" applyBorder="1" applyAlignment="1">
      <alignment vertical="top"/>
    </xf>
    <xf numFmtId="0" fontId="0" fillId="0" borderId="15" xfId="0" applyBorder="1" applyAlignment="1">
      <alignment vertical="top"/>
    </xf>
    <xf numFmtId="166" fontId="3" fillId="0" borderId="14" xfId="0" applyNumberFormat="1" applyFont="1" applyBorder="1" applyAlignment="1">
      <alignment vertical="top"/>
    </xf>
    <xf numFmtId="164" fontId="0" fillId="2" borderId="1" xfId="1" applyFont="1" applyFill="1" applyBorder="1"/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164" fontId="25" fillId="2" borderId="1" xfId="1" applyFont="1" applyFill="1" applyBorder="1"/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4" fontId="0" fillId="0" borderId="16" xfId="1" applyFont="1" applyBorder="1"/>
    <xf numFmtId="164" fontId="0" fillId="3" borderId="16" xfId="1" applyFont="1" applyFill="1" applyBorder="1"/>
    <xf numFmtId="167" fontId="19" fillId="0" borderId="11" xfId="0" applyNumberFormat="1" applyFont="1" applyBorder="1" applyAlignment="1">
      <alignment vertical="top"/>
    </xf>
    <xf numFmtId="167" fontId="20" fillId="0" borderId="12" xfId="0" applyNumberFormat="1" applyFont="1" applyBorder="1" applyAlignment="1">
      <alignment vertical="top" wrapText="1"/>
    </xf>
    <xf numFmtId="0" fontId="12" fillId="0" borderId="5" xfId="0" applyFont="1" applyBorder="1" applyAlignment="1">
      <alignment horizontal="left" vertical="top" wrapText="1"/>
    </xf>
    <xf numFmtId="164" fontId="0" fillId="3" borderId="3" xfId="1" applyFont="1" applyFill="1" applyBorder="1"/>
    <xf numFmtId="0" fontId="0" fillId="0" borderId="16" xfId="0" applyBorder="1"/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7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0" fontId="0" fillId="0" borderId="1" xfId="0" quotePrefix="1" applyBorder="1"/>
    <xf numFmtId="0" fontId="24" fillId="7" borderId="1" xfId="0" applyFont="1" applyFill="1" applyBorder="1"/>
    <xf numFmtId="164" fontId="0" fillId="7" borderId="16" xfId="1" applyFont="1" applyFill="1" applyBorder="1"/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164" fontId="2" fillId="0" borderId="0" xfId="1" applyFont="1"/>
    <xf numFmtId="16" fontId="0" fillId="0" borderId="1" xfId="0" applyNumberFormat="1" applyBorder="1"/>
    <xf numFmtId="1" fontId="0" fillId="0" borderId="1" xfId="0" applyNumberFormat="1" applyBorder="1" applyAlignment="1">
      <alignment vertical="top"/>
    </xf>
    <xf numFmtId="0" fontId="0" fillId="0" borderId="1" xfId="0" applyBorder="1" applyAlignment="1">
      <alignment horizontal="center" vertical="top"/>
    </xf>
    <xf numFmtId="164" fontId="25" fillId="2" borderId="1" xfId="1" applyFont="1" applyFill="1" applyBorder="1" applyAlignment="1">
      <alignment vertical="top"/>
    </xf>
    <xf numFmtId="164" fontId="2" fillId="2" borderId="1" xfId="1" applyFont="1" applyFill="1" applyBorder="1" applyAlignment="1">
      <alignment vertical="top"/>
    </xf>
    <xf numFmtId="164" fontId="0" fillId="0" borderId="16" xfId="1" applyFont="1" applyBorder="1" applyAlignment="1">
      <alignment vertical="top"/>
    </xf>
    <xf numFmtId="164" fontId="0" fillId="3" borderId="1" xfId="1" applyFont="1" applyFill="1" applyBorder="1" applyAlignment="1">
      <alignment vertical="top"/>
    </xf>
    <xf numFmtId="164" fontId="0" fillId="0" borderId="2" xfId="1" applyFont="1" applyFill="1" applyBorder="1" applyAlignment="1">
      <alignment vertical="top"/>
    </xf>
    <xf numFmtId="164" fontId="0" fillId="0" borderId="0" xfId="1" applyFont="1" applyAlignment="1">
      <alignment vertical="top"/>
    </xf>
    <xf numFmtId="0" fontId="0" fillId="0" borderId="3" xfId="0" applyBorder="1"/>
    <xf numFmtId="0" fontId="0" fillId="0" borderId="3" xfId="0" applyBorder="1" applyAlignment="1">
      <alignment horizontal="left" vertical="top"/>
    </xf>
    <xf numFmtId="0" fontId="0" fillId="0" borderId="3" xfId="0" applyBorder="1" applyAlignment="1">
      <alignment horizontal="center" vertical="center"/>
    </xf>
    <xf numFmtId="164" fontId="25" fillId="2" borderId="3" xfId="1" applyFont="1" applyFill="1" applyBorder="1"/>
    <xf numFmtId="164" fontId="2" fillId="2" borderId="3" xfId="1" applyFont="1" applyFill="1" applyBorder="1"/>
    <xf numFmtId="164" fontId="0" fillId="0" borderId="16" xfId="1" applyFont="1" applyFill="1" applyBorder="1"/>
    <xf numFmtId="164" fontId="1" fillId="0" borderId="1" xfId="1" applyFont="1" applyFill="1" applyBorder="1"/>
    <xf numFmtId="164" fontId="2" fillId="0" borderId="1" xfId="1" applyFont="1" applyBorder="1"/>
    <xf numFmtId="164" fontId="0" fillId="0" borderId="18" xfId="1" applyFont="1" applyFill="1" applyBorder="1"/>
    <xf numFmtId="164" fontId="0" fillId="7" borderId="18" xfId="1" applyFont="1" applyFill="1" applyBorder="1"/>
    <xf numFmtId="164" fontId="0" fillId="0" borderId="18" xfId="1" applyFont="1" applyFill="1" applyBorder="1" applyAlignment="1">
      <alignment vertical="top"/>
    </xf>
    <xf numFmtId="164" fontId="0" fillId="0" borderId="19" xfId="1" applyFont="1" applyFill="1" applyBorder="1"/>
    <xf numFmtId="0" fontId="0" fillId="0" borderId="20" xfId="1" applyNumberFormat="1" applyFont="1" applyBorder="1"/>
    <xf numFmtId="164" fontId="26" fillId="7" borderId="1" xfId="1" applyFont="1" applyFill="1" applyBorder="1" applyAlignment="1">
      <alignment horizontal="left" vertical="top" wrapText="1"/>
    </xf>
    <xf numFmtId="164" fontId="26" fillId="7" borderId="1" xfId="1" applyFont="1" applyFill="1" applyBorder="1"/>
    <xf numFmtId="164" fontId="1" fillId="0" borderId="1" xfId="1" applyFont="1" applyFill="1" applyBorder="1" applyAlignment="1">
      <alignment vertical="top"/>
    </xf>
    <xf numFmtId="166" fontId="3" fillId="0" borderId="1" xfId="0" applyNumberFormat="1" applyFont="1" applyBorder="1" applyAlignment="1">
      <alignment horizontal="left" vertical="top"/>
    </xf>
    <xf numFmtId="166" fontId="3" fillId="0" borderId="0" xfId="0" applyNumberFormat="1" applyFont="1" applyAlignment="1">
      <alignment horizontal="left" vertical="top"/>
    </xf>
    <xf numFmtId="14" fontId="0" fillId="10" borderId="1" xfId="0" applyNumberFormat="1" applyFill="1" applyBorder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4" fontId="0" fillId="0" borderId="3" xfId="0" applyNumberFormat="1" applyBorder="1" applyAlignment="1">
      <alignment horizontal="left" vertical="top"/>
    </xf>
    <xf numFmtId="14" fontId="0" fillId="10" borderId="2" xfId="0" applyNumberFormat="1" applyFill="1" applyBorder="1" applyAlignment="1">
      <alignment horizontal="left" vertical="top"/>
    </xf>
    <xf numFmtId="14" fontId="0" fillId="12" borderId="1" xfId="0" applyNumberFormat="1" applyFill="1" applyBorder="1" applyAlignment="1">
      <alignment horizontal="left" vertical="top"/>
    </xf>
    <xf numFmtId="0" fontId="0" fillId="12" borderId="1" xfId="0" applyFill="1" applyBorder="1"/>
    <xf numFmtId="0" fontId="0" fillId="12" borderId="1" xfId="0" applyFill="1" applyBorder="1" applyAlignment="1">
      <alignment horizontal="left" vertical="top"/>
    </xf>
    <xf numFmtId="0" fontId="0" fillId="12" borderId="1" xfId="0" applyFill="1" applyBorder="1" applyAlignment="1">
      <alignment horizontal="center" vertical="center"/>
    </xf>
    <xf numFmtId="164" fontId="25" fillId="12" borderId="1" xfId="1" applyFont="1" applyFill="1" applyBorder="1"/>
    <xf numFmtId="164" fontId="2" fillId="12" borderId="1" xfId="1" applyFont="1" applyFill="1" applyBorder="1"/>
    <xf numFmtId="164" fontId="0" fillId="12" borderId="1" xfId="1" applyFont="1" applyFill="1" applyBorder="1"/>
    <xf numFmtId="164" fontId="1" fillId="12" borderId="1" xfId="1" applyFont="1" applyFill="1" applyBorder="1"/>
    <xf numFmtId="164" fontId="0" fillId="12" borderId="0" xfId="1" applyFont="1" applyFill="1" applyBorder="1"/>
    <xf numFmtId="164" fontId="2" fillId="0" borderId="0" xfId="1" applyFont="1" applyBorder="1" applyAlignment="1">
      <alignment vertical="top"/>
    </xf>
    <xf numFmtId="14" fontId="3" fillId="0" borderId="1" xfId="0" applyNumberFormat="1" applyFont="1" applyBorder="1" applyAlignment="1">
      <alignment horizontal="left" vertical="top"/>
    </xf>
    <xf numFmtId="0" fontId="3" fillId="0" borderId="1" xfId="0" applyFont="1" applyBorder="1"/>
    <xf numFmtId="0" fontId="25" fillId="0" borderId="1" xfId="0" applyFont="1" applyBorder="1" applyAlignment="1">
      <alignment horizontal="left" vertical="top"/>
    </xf>
    <xf numFmtId="14" fontId="0" fillId="0" borderId="1" xfId="0" applyNumberFormat="1" applyBorder="1" applyAlignment="1">
      <alignment horizontal="right" vertical="top"/>
    </xf>
    <xf numFmtId="14" fontId="0" fillId="8" borderId="1" xfId="0" applyNumberFormat="1" applyFill="1" applyBorder="1" applyAlignment="1">
      <alignment horizontal="right" vertical="top"/>
    </xf>
    <xf numFmtId="14" fontId="0" fillId="7" borderId="1" xfId="0" applyNumberFormat="1" applyFill="1" applyBorder="1" applyAlignment="1">
      <alignment horizontal="right" vertical="top"/>
    </xf>
    <xf numFmtId="14" fontId="0" fillId="0" borderId="0" xfId="0" applyNumberFormat="1" applyAlignment="1">
      <alignment horizontal="right" vertical="top"/>
    </xf>
    <xf numFmtId="8" fontId="0" fillId="0" borderId="1" xfId="0" applyNumberFormat="1" applyBorder="1" applyAlignment="1">
      <alignment horizontal="left" vertical="top"/>
    </xf>
    <xf numFmtId="8" fontId="3" fillId="13" borderId="1" xfId="0" applyNumberFormat="1" applyFont="1" applyFill="1" applyBorder="1" applyAlignment="1">
      <alignment horizontal="left" vertical="top"/>
    </xf>
    <xf numFmtId="8" fontId="3" fillId="13" borderId="1" xfId="0" applyNumberFormat="1" applyFont="1" applyFill="1" applyBorder="1" applyAlignment="1">
      <alignment horizontal="left" vertical="top" wrapText="1"/>
    </xf>
    <xf numFmtId="8" fontId="0" fillId="8" borderId="1" xfId="0" applyNumberFormat="1" applyFill="1" applyBorder="1" applyAlignment="1">
      <alignment horizontal="left" vertical="top"/>
    </xf>
    <xf numFmtId="8" fontId="0" fillId="0" borderId="1" xfId="0" applyNumberFormat="1" applyBorder="1" applyAlignment="1">
      <alignment horizontal="right" vertical="top"/>
    </xf>
    <xf numFmtId="8" fontId="0" fillId="0" borderId="0" xfId="0" applyNumberFormat="1" applyAlignment="1">
      <alignment horizontal="right" vertical="top"/>
    </xf>
    <xf numFmtId="8" fontId="0" fillId="11" borderId="1" xfId="0" applyNumberFormat="1" applyFill="1" applyBorder="1" applyAlignment="1">
      <alignment horizontal="right" vertical="top"/>
    </xf>
    <xf numFmtId="8" fontId="2" fillId="11" borderId="1" xfId="0" applyNumberFormat="1" applyFont="1" applyFill="1" applyBorder="1" applyAlignment="1">
      <alignment horizontal="right" vertical="top"/>
    </xf>
    <xf numFmtId="8" fontId="3" fillId="11" borderId="1" xfId="0" applyNumberFormat="1" applyFont="1" applyFill="1" applyBorder="1" applyAlignment="1">
      <alignment horizontal="left" vertical="top"/>
    </xf>
    <xf numFmtId="8" fontId="29" fillId="11" borderId="1" xfId="0" applyNumberFormat="1" applyFont="1" applyFill="1" applyBorder="1" applyAlignment="1">
      <alignment horizontal="left" vertical="top"/>
    </xf>
    <xf numFmtId="8" fontId="0" fillId="7" borderId="1" xfId="0" applyNumberFormat="1" applyFill="1" applyBorder="1" applyAlignment="1">
      <alignment horizontal="right" vertical="top"/>
    </xf>
    <xf numFmtId="8" fontId="2" fillId="7" borderId="1" xfId="0" applyNumberFormat="1" applyFont="1" applyFill="1" applyBorder="1" applyAlignment="1">
      <alignment horizontal="right" vertical="top"/>
    </xf>
    <xf numFmtId="8" fontId="0" fillId="11" borderId="0" xfId="0" applyNumberFormat="1" applyFill="1" applyAlignment="1">
      <alignment horizontal="right" vertical="top"/>
    </xf>
    <xf numFmtId="8" fontId="2" fillId="11" borderId="0" xfId="0" applyNumberFormat="1" applyFont="1" applyFill="1" applyAlignment="1">
      <alignment horizontal="right" vertical="top"/>
    </xf>
    <xf numFmtId="8" fontId="3" fillId="11" borderId="1" xfId="0" applyNumberFormat="1" applyFont="1" applyFill="1" applyBorder="1" applyAlignment="1">
      <alignment horizontal="right" vertical="top"/>
    </xf>
    <xf numFmtId="0" fontId="7" fillId="0" borderId="1" xfId="2" applyFont="1" applyBorder="1" applyAlignment="1">
      <alignment horizontal="left" vertical="top"/>
    </xf>
    <xf numFmtId="0" fontId="7" fillId="0" borderId="1" xfId="2" applyFont="1" applyBorder="1" applyAlignment="1">
      <alignment horizontal="right" vertical="top"/>
    </xf>
    <xf numFmtId="0" fontId="7" fillId="0" borderId="1" xfId="2" applyFont="1" applyBorder="1"/>
    <xf numFmtId="166" fontId="0" fillId="0" borderId="1" xfId="0" applyNumberFormat="1" applyBorder="1"/>
    <xf numFmtId="14" fontId="0" fillId="12" borderId="1" xfId="0" applyNumberFormat="1" applyFill="1" applyBorder="1" applyAlignment="1">
      <alignment horizontal="right" vertical="top"/>
    </xf>
    <xf numFmtId="8" fontId="0" fillId="12" borderId="1" xfId="0" applyNumberFormat="1" applyFill="1" applyBorder="1" applyAlignment="1">
      <alignment horizontal="right" vertical="top"/>
    </xf>
    <xf numFmtId="8" fontId="2" fillId="12" borderId="1" xfId="0" applyNumberFormat="1" applyFont="1" applyFill="1" applyBorder="1" applyAlignment="1">
      <alignment horizontal="right" vertical="top"/>
    </xf>
    <xf numFmtId="8" fontId="0" fillId="12" borderId="1" xfId="0" applyNumberFormat="1" applyFill="1" applyBorder="1" applyAlignment="1">
      <alignment horizontal="left" vertical="top"/>
    </xf>
    <xf numFmtId="9" fontId="8" fillId="0" borderId="1" xfId="0" applyNumberFormat="1" applyFont="1" applyBorder="1" applyAlignment="1">
      <alignment horizontal="center"/>
    </xf>
    <xf numFmtId="167" fontId="0" fillId="0" borderId="1" xfId="0" applyNumberFormat="1" applyBorder="1"/>
    <xf numFmtId="0" fontId="8" fillId="0" borderId="1" xfId="2" applyFont="1" applyBorder="1"/>
    <xf numFmtId="6" fontId="7" fillId="0" borderId="1" xfId="3" applyNumberFormat="1" applyFont="1" applyBorder="1" applyAlignment="1">
      <alignment horizontal="right" vertical="top"/>
    </xf>
    <xf numFmtId="0" fontId="8" fillId="0" borderId="0" xfId="2" applyFont="1"/>
    <xf numFmtId="0" fontId="8" fillId="0" borderId="1" xfId="2" applyFont="1" applyBorder="1" applyAlignment="1">
      <alignment horizontal="left" vertical="top" wrapText="1"/>
    </xf>
    <xf numFmtId="6" fontId="8" fillId="0" borderId="1" xfId="3" applyNumberFormat="1" applyFont="1" applyBorder="1" applyAlignment="1">
      <alignment horizontal="right" vertical="top"/>
    </xf>
    <xf numFmtId="0" fontId="8" fillId="0" borderId="1" xfId="2" applyFont="1" applyBorder="1" applyAlignment="1">
      <alignment horizontal="left" vertical="top"/>
    </xf>
    <xf numFmtId="169" fontId="8" fillId="0" borderId="1" xfId="3" applyNumberFormat="1" applyFont="1" applyBorder="1"/>
    <xf numFmtId="169" fontId="7" fillId="0" borderId="1" xfId="3" applyNumberFormat="1" applyFont="1" applyBorder="1" applyAlignment="1">
      <alignment horizontal="left" vertical="top"/>
    </xf>
    <xf numFmtId="0" fontId="7" fillId="0" borderId="1" xfId="2" applyFont="1" applyBorder="1" applyAlignment="1">
      <alignment horizontal="center"/>
    </xf>
    <xf numFmtId="0" fontId="7" fillId="0" borderId="0" xfId="2" applyFont="1" applyAlignment="1">
      <alignment horizontal="center"/>
    </xf>
    <xf numFmtId="169" fontId="8" fillId="0" borderId="0" xfId="3" applyNumberFormat="1" applyFont="1"/>
    <xf numFmtId="169" fontId="7" fillId="0" borderId="0" xfId="3" applyNumberFormat="1" applyFont="1"/>
    <xf numFmtId="169" fontId="7" fillId="0" borderId="0" xfId="3" applyNumberFormat="1" applyFont="1" applyAlignment="1">
      <alignment horizontal="left" vertical="top"/>
    </xf>
    <xf numFmtId="0" fontId="7" fillId="0" borderId="0" xfId="6" applyFont="1" applyAlignment="1">
      <alignment horizontal="left" vertical="top"/>
    </xf>
    <xf numFmtId="0" fontId="7" fillId="0" borderId="0" xfId="2" applyFont="1" applyAlignment="1">
      <alignment horizontal="left" vertical="top"/>
    </xf>
    <xf numFmtId="0" fontId="31" fillId="0" borderId="0" xfId="2" applyFont="1"/>
    <xf numFmtId="6" fontId="7" fillId="0" borderId="1" xfId="3" applyNumberFormat="1" applyFont="1" applyFill="1" applyBorder="1" applyAlignment="1">
      <alignment horizontal="right" vertical="top"/>
    </xf>
    <xf numFmtId="6" fontId="8" fillId="0" borderId="1" xfId="3" applyNumberFormat="1" applyFont="1" applyFill="1" applyBorder="1" applyAlignment="1">
      <alignment horizontal="right" vertical="top"/>
    </xf>
    <xf numFmtId="6" fontId="8" fillId="0" borderId="1" xfId="1" applyNumberFormat="1" applyFont="1" applyFill="1" applyBorder="1" applyAlignment="1">
      <alignment horizontal="right" vertical="top"/>
    </xf>
    <xf numFmtId="169" fontId="7" fillId="0" borderId="1" xfId="3" applyNumberFormat="1" applyFont="1" applyBorder="1" applyAlignment="1">
      <alignment horizontal="center"/>
    </xf>
    <xf numFmtId="169" fontId="7" fillId="0" borderId="1" xfId="3" applyNumberFormat="1" applyFont="1" applyBorder="1"/>
    <xf numFmtId="0" fontId="7" fillId="0" borderId="0" xfId="2" applyFont="1"/>
    <xf numFmtId="0" fontId="7" fillId="0" borderId="0" xfId="6" applyFont="1"/>
    <xf numFmtId="6" fontId="7" fillId="0" borderId="1" xfId="3" applyNumberFormat="1" applyFont="1" applyFill="1" applyBorder="1"/>
    <xf numFmtId="6" fontId="8" fillId="0" borderId="1" xfId="3" applyNumberFormat="1" applyFont="1" applyFill="1" applyBorder="1"/>
    <xf numFmtId="165" fontId="8" fillId="0" borderId="1" xfId="3" applyFont="1" applyFill="1" applyBorder="1"/>
    <xf numFmtId="165" fontId="8" fillId="0" borderId="1" xfId="3" applyFont="1" applyBorder="1"/>
    <xf numFmtId="1" fontId="7" fillId="0" borderId="1" xfId="3" applyNumberFormat="1" applyFont="1" applyBorder="1"/>
    <xf numFmtId="1" fontId="8" fillId="0" borderId="1" xfId="2" applyNumberFormat="1" applyFont="1" applyBorder="1"/>
    <xf numFmtId="169" fontId="8" fillId="0" borderId="0" xfId="2" applyNumberFormat="1" applyFont="1"/>
    <xf numFmtId="169" fontId="8" fillId="0" borderId="1" xfId="2" applyNumberFormat="1" applyFont="1" applyBorder="1"/>
    <xf numFmtId="0" fontId="7" fillId="0" borderId="1" xfId="3" quotePrefix="1" applyNumberFormat="1" applyFont="1" applyBorder="1" applyAlignment="1">
      <alignment horizontal="center"/>
    </xf>
    <xf numFmtId="0" fontId="0" fillId="0" borderId="0" xfId="0" applyAlignment="1">
      <alignment wrapText="1"/>
    </xf>
    <xf numFmtId="166" fontId="0" fillId="0" borderId="0" xfId="0" applyNumberFormat="1" applyAlignment="1">
      <alignment horizontal="right" vertical="top" wrapText="1"/>
    </xf>
    <xf numFmtId="6" fontId="8" fillId="0" borderId="1" xfId="7" applyNumberFormat="1" applyFont="1" applyFill="1" applyBorder="1" applyAlignment="1">
      <alignment horizontal="right" vertical="top" wrapText="1"/>
    </xf>
    <xf numFmtId="167" fontId="7" fillId="0" borderId="1" xfId="3" applyNumberFormat="1" applyFont="1" applyFill="1" applyBorder="1" applyAlignment="1">
      <alignment horizontal="right" vertical="top" wrapText="1"/>
    </xf>
    <xf numFmtId="6" fontId="7" fillId="0" borderId="1" xfId="3" applyNumberFormat="1" applyFont="1" applyFill="1" applyBorder="1" applyAlignment="1">
      <alignment horizontal="right" vertical="top" wrapText="1"/>
    </xf>
    <xf numFmtId="0" fontId="8" fillId="0" borderId="0" xfId="2" applyFont="1" applyAlignment="1">
      <alignment wrapText="1"/>
    </xf>
    <xf numFmtId="1" fontId="32" fillId="0" borderId="1" xfId="1" applyNumberFormat="1" applyFont="1" applyFill="1" applyBorder="1" applyAlignment="1">
      <alignment horizontal="left" vertical="top" wrapText="1"/>
    </xf>
    <xf numFmtId="167" fontId="11" fillId="8" borderId="1" xfId="0" applyNumberFormat="1" applyFont="1" applyFill="1" applyBorder="1" applyAlignment="1">
      <alignment horizontal="right" vertical="top" wrapText="1"/>
    </xf>
    <xf numFmtId="6" fontId="32" fillId="0" borderId="1" xfId="1" applyNumberFormat="1" applyFont="1" applyFill="1" applyBorder="1" applyAlignment="1">
      <alignment horizontal="right" vertical="top" wrapText="1"/>
    </xf>
    <xf numFmtId="0" fontId="32" fillId="8" borderId="1" xfId="0" applyFont="1" applyFill="1" applyBorder="1" applyAlignment="1">
      <alignment horizontal="left" vertical="top" wrapText="1"/>
    </xf>
    <xf numFmtId="167" fontId="11" fillId="0" borderId="1" xfId="0" applyNumberFormat="1" applyFont="1" applyBorder="1" applyAlignment="1">
      <alignment horizontal="right" vertical="top" wrapText="1"/>
    </xf>
    <xf numFmtId="0" fontId="32" fillId="0" borderId="1" xfId="0" applyFont="1" applyBorder="1" applyAlignment="1">
      <alignment horizontal="left" vertical="top" wrapText="1"/>
    </xf>
    <xf numFmtId="6" fontId="8" fillId="0" borderId="1" xfId="2" applyNumberFormat="1" applyFont="1" applyBorder="1" applyAlignment="1">
      <alignment horizontal="right" vertical="top" wrapText="1"/>
    </xf>
    <xf numFmtId="49" fontId="32" fillId="0" borderId="1" xfId="4" applyNumberFormat="1" applyFont="1" applyFill="1" applyBorder="1" applyAlignment="1">
      <alignment horizontal="left" vertical="top" wrapText="1"/>
    </xf>
    <xf numFmtId="6" fontId="8" fillId="0" borderId="1" xfId="3" applyNumberFormat="1" applyFont="1" applyFill="1" applyBorder="1" applyAlignment="1">
      <alignment horizontal="right" vertical="top" wrapText="1"/>
    </xf>
    <xf numFmtId="169" fontId="8" fillId="0" borderId="1" xfId="3" applyNumberFormat="1" applyFont="1" applyBorder="1" applyAlignment="1">
      <alignment horizontal="left" vertical="top" wrapText="1"/>
    </xf>
    <xf numFmtId="165" fontId="8" fillId="0" borderId="1" xfId="3" applyFont="1" applyBorder="1" applyAlignment="1">
      <alignment horizontal="left" vertical="top" wrapText="1"/>
    </xf>
    <xf numFmtId="166" fontId="11" fillId="0" borderId="1" xfId="0" applyNumberFormat="1" applyFont="1" applyBorder="1" applyAlignment="1">
      <alignment horizontal="right" vertical="top" wrapText="1"/>
    </xf>
    <xf numFmtId="0" fontId="7" fillId="0" borderId="0" xfId="2" applyFont="1" applyAlignment="1">
      <alignment horizontal="left" wrapText="1"/>
    </xf>
    <xf numFmtId="0" fontId="7" fillId="0" borderId="1" xfId="2" applyFont="1" applyBorder="1" applyAlignment="1">
      <alignment horizontal="left" wrapText="1"/>
    </xf>
    <xf numFmtId="0" fontId="7" fillId="0" borderId="1" xfId="2" applyFont="1" applyBorder="1" applyAlignment="1">
      <alignment horizontal="left" vertical="top" wrapText="1"/>
    </xf>
    <xf numFmtId="0" fontId="7" fillId="0" borderId="0" xfId="2" applyFont="1" applyAlignment="1">
      <alignment horizontal="center" wrapText="1"/>
    </xf>
    <xf numFmtId="0" fontId="33" fillId="0" borderId="0" xfId="2" applyFont="1" applyAlignment="1">
      <alignment horizontal="left" vertical="top" wrapText="1"/>
    </xf>
    <xf numFmtId="169" fontId="8" fillId="0" borderId="0" xfId="3" applyNumberFormat="1" applyFont="1" applyBorder="1" applyAlignment="1">
      <alignment wrapText="1"/>
    </xf>
    <xf numFmtId="166" fontId="8" fillId="0" borderId="0" xfId="3" applyNumberFormat="1" applyFont="1" applyBorder="1" applyAlignment="1">
      <alignment horizontal="right" vertical="top" wrapText="1"/>
    </xf>
    <xf numFmtId="169" fontId="7" fillId="0" borderId="0" xfId="3" applyNumberFormat="1" applyFont="1" applyBorder="1" applyAlignment="1">
      <alignment horizontal="left" vertical="top" wrapText="1"/>
    </xf>
    <xf numFmtId="0" fontId="7" fillId="0" borderId="0" xfId="6" applyFont="1" applyAlignment="1">
      <alignment wrapText="1"/>
    </xf>
    <xf numFmtId="0" fontId="7" fillId="0" borderId="0" xfId="2" applyFont="1" applyAlignment="1">
      <alignment wrapText="1"/>
    </xf>
    <xf numFmtId="169" fontId="8" fillId="0" borderId="0" xfId="3" applyNumberFormat="1" applyFont="1" applyAlignment="1">
      <alignment horizontal="left" vertical="top" wrapText="1"/>
    </xf>
    <xf numFmtId="166" fontId="8" fillId="0" borderId="0" xfId="2" applyNumberFormat="1" applyFont="1" applyAlignment="1">
      <alignment horizontal="right" vertical="top" wrapText="1"/>
    </xf>
    <xf numFmtId="0" fontId="31" fillId="0" borderId="0" xfId="2" applyFont="1" applyAlignment="1">
      <alignment wrapText="1"/>
    </xf>
    <xf numFmtId="6" fontId="0" fillId="0" borderId="0" xfId="0" applyNumberFormat="1"/>
    <xf numFmtId="0" fontId="0" fillId="0" borderId="0" xfId="0" applyAlignment="1">
      <alignment horizontal="right"/>
    </xf>
    <xf numFmtId="6" fontId="3" fillId="0" borderId="21" xfId="0" applyNumberFormat="1" applyFont="1" applyBorder="1"/>
    <xf numFmtId="0" fontId="3" fillId="0" borderId="0" xfId="0" applyFont="1"/>
    <xf numFmtId="3" fontId="0" fillId="0" borderId="0" xfId="0" applyNumberFormat="1"/>
    <xf numFmtId="167" fontId="0" fillId="0" borderId="0" xfId="0" applyNumberFormat="1"/>
    <xf numFmtId="5" fontId="7" fillId="0" borderId="1" xfId="3" applyNumberFormat="1" applyFont="1" applyFill="1" applyBorder="1" applyAlignment="1">
      <alignment horizontal="right" vertical="top"/>
    </xf>
    <xf numFmtId="5" fontId="7" fillId="0" borderId="1" xfId="3" applyNumberFormat="1" applyFont="1" applyBorder="1"/>
    <xf numFmtId="5" fontId="8" fillId="0" borderId="1" xfId="3" applyNumberFormat="1" applyFont="1" applyFill="1" applyBorder="1" applyAlignment="1">
      <alignment horizontal="right" vertical="top"/>
    </xf>
    <xf numFmtId="165" fontId="8" fillId="0" borderId="0" xfId="3" applyFont="1" applyFill="1" applyBorder="1"/>
    <xf numFmtId="0" fontId="7" fillId="0" borderId="1" xfId="2" applyFont="1" applyBorder="1" applyAlignment="1">
      <alignment horizontal="left"/>
    </xf>
    <xf numFmtId="169" fontId="7" fillId="0" borderId="1" xfId="2" applyNumberFormat="1" applyFont="1" applyBorder="1" applyAlignment="1">
      <alignment horizontal="center"/>
    </xf>
    <xf numFmtId="169" fontId="7" fillId="0" borderId="0" xfId="2" applyNumberFormat="1" applyFont="1"/>
    <xf numFmtId="166" fontId="0" fillId="0" borderId="0" xfId="0" applyNumberFormat="1" applyAlignment="1">
      <alignment vertical="top"/>
    </xf>
    <xf numFmtId="166" fontId="34" fillId="0" borderId="0" xfId="0" applyNumberFormat="1" applyFont="1" applyAlignment="1">
      <alignment horizontal="left" vertical="top"/>
    </xf>
    <xf numFmtId="166" fontId="34" fillId="0" borderId="21" xfId="0" applyNumberFormat="1" applyFont="1" applyBorder="1" applyAlignment="1">
      <alignment horizontal="left" vertical="top"/>
    </xf>
    <xf numFmtId="0" fontId="34" fillId="0" borderId="0" xfId="0" applyFont="1" applyAlignment="1">
      <alignment horizontal="left" vertical="top"/>
    </xf>
    <xf numFmtId="8" fontId="34" fillId="0" borderId="0" xfId="0" applyNumberFormat="1" applyFont="1" applyAlignment="1">
      <alignment horizontal="left" vertical="top"/>
    </xf>
    <xf numFmtId="166" fontId="34" fillId="0" borderId="21" xfId="0" applyNumberFormat="1" applyFont="1" applyBorder="1" applyAlignment="1">
      <alignment horizontal="right" vertical="top"/>
    </xf>
    <xf numFmtId="166" fontId="34" fillId="0" borderId="0" xfId="0" applyNumberFormat="1" applyFont="1" applyAlignment="1">
      <alignment horizontal="right" vertical="top"/>
    </xf>
    <xf numFmtId="17" fontId="34" fillId="0" borderId="0" xfId="0" applyNumberFormat="1" applyFont="1" applyAlignment="1">
      <alignment horizontal="left" vertical="top"/>
    </xf>
    <xf numFmtId="0" fontId="19" fillId="0" borderId="0" xfId="0" applyFont="1" applyAlignment="1">
      <alignment horizontal="left" vertical="top"/>
    </xf>
    <xf numFmtId="8" fontId="19" fillId="0" borderId="22" xfId="0" applyNumberFormat="1" applyFont="1" applyBorder="1" applyAlignment="1">
      <alignment vertical="top"/>
    </xf>
    <xf numFmtId="8" fontId="19" fillId="0" borderId="1" xfId="0" applyNumberFormat="1" applyFont="1" applyBorder="1" applyAlignment="1">
      <alignment vertical="top"/>
    </xf>
    <xf numFmtId="0" fontId="19" fillId="0" borderId="1" xfId="0" applyFont="1" applyBorder="1" applyAlignment="1">
      <alignment horizontal="right" vertical="top"/>
    </xf>
    <xf numFmtId="8" fontId="34" fillId="0" borderId="1" xfId="0" applyNumberFormat="1" applyFont="1" applyBorder="1" applyAlignment="1">
      <alignment vertical="top"/>
    </xf>
    <xf numFmtId="0" fontId="34" fillId="0" borderId="1" xfId="0" applyFont="1" applyBorder="1" applyAlignment="1">
      <alignment horizontal="left" vertical="top"/>
    </xf>
    <xf numFmtId="0" fontId="34" fillId="0" borderId="1" xfId="0" applyFont="1" applyBorder="1" applyAlignment="1">
      <alignment horizontal="left" vertical="top" wrapText="1"/>
    </xf>
    <xf numFmtId="8" fontId="34" fillId="0" borderId="2" xfId="0" applyNumberFormat="1" applyFont="1" applyBorder="1" applyAlignment="1">
      <alignment vertical="top"/>
    </xf>
    <xf numFmtId="8" fontId="34" fillId="0" borderId="3" xfId="0" applyNumberFormat="1" applyFont="1" applyBorder="1" applyAlignment="1">
      <alignment vertical="top"/>
    </xf>
    <xf numFmtId="0" fontId="34" fillId="0" borderId="1" xfId="0" applyFont="1" applyBorder="1" applyAlignment="1">
      <alignment horizontal="right" vertical="top"/>
    </xf>
    <xf numFmtId="0" fontId="11" fillId="0" borderId="0" xfId="0" applyFont="1" applyAlignment="1">
      <alignment horizontal="left" vertical="top"/>
    </xf>
    <xf numFmtId="166" fontId="11" fillId="0" borderId="0" xfId="0" applyNumberFormat="1" applyFont="1" applyAlignment="1">
      <alignment horizontal="right" vertical="top"/>
    </xf>
    <xf numFmtId="0" fontId="35" fillId="0" borderId="0" xfId="0" applyFont="1" applyAlignment="1">
      <alignment horizontal="left" vertical="top"/>
    </xf>
    <xf numFmtId="0" fontId="8" fillId="0" borderId="1" xfId="2" applyFont="1" applyBorder="1" applyAlignment="1">
      <alignment vertical="top"/>
    </xf>
    <xf numFmtId="0" fontId="8" fillId="0" borderId="1" xfId="2" applyFont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7" fillId="0" borderId="1" xfId="2" applyFont="1" applyBorder="1" applyAlignment="1">
      <alignment horizontal="center" vertical="top"/>
    </xf>
    <xf numFmtId="0" fontId="8" fillId="0" borderId="1" xfId="0" applyFont="1" applyBorder="1" applyAlignment="1">
      <alignment horizontal="left" vertical="top"/>
    </xf>
    <xf numFmtId="6" fontId="32" fillId="8" borderId="1" xfId="1" applyNumberFormat="1" applyFont="1" applyFill="1" applyBorder="1" applyAlignment="1">
      <alignment horizontal="right" vertical="top" wrapText="1"/>
    </xf>
    <xf numFmtId="8" fontId="3" fillId="13" borderId="1" xfId="0" applyNumberFormat="1" applyFont="1" applyFill="1" applyBorder="1" applyAlignment="1">
      <alignment horizontal="right" vertical="top"/>
    </xf>
    <xf numFmtId="167" fontId="11" fillId="0" borderId="0" xfId="0" applyNumberFormat="1" applyFont="1" applyAlignment="1">
      <alignment horizontal="left" vertical="top" wrapText="1"/>
    </xf>
    <xf numFmtId="8" fontId="0" fillId="11" borderId="11" xfId="0" applyNumberFormat="1" applyFill="1" applyBorder="1" applyAlignment="1">
      <alignment horizontal="right" vertical="top"/>
    </xf>
    <xf numFmtId="8" fontId="0" fillId="11" borderId="20" xfId="0" applyNumberFormat="1" applyFill="1" applyBorder="1" applyAlignment="1">
      <alignment horizontal="right" vertical="top"/>
    </xf>
    <xf numFmtId="8" fontId="0" fillId="0" borderId="11" xfId="0" applyNumberFormat="1" applyBorder="1" applyAlignment="1">
      <alignment horizontal="center" vertical="top"/>
    </xf>
    <xf numFmtId="8" fontId="0" fillId="0" borderId="17" xfId="0" applyNumberFormat="1" applyBorder="1" applyAlignment="1">
      <alignment horizontal="center" vertical="top"/>
    </xf>
    <xf numFmtId="8" fontId="0" fillId="0" borderId="20" xfId="0" applyNumberFormat="1" applyBorder="1" applyAlignment="1">
      <alignment horizontal="center" vertical="top"/>
    </xf>
    <xf numFmtId="8" fontId="0" fillId="8" borderId="11" xfId="0" applyNumberFormat="1" applyFill="1" applyBorder="1" applyAlignment="1">
      <alignment horizontal="center" vertical="top"/>
    </xf>
    <xf numFmtId="8" fontId="0" fillId="8" borderId="20" xfId="0" applyNumberFormat="1" applyFill="1" applyBorder="1" applyAlignment="1">
      <alignment horizontal="center" vertical="top"/>
    </xf>
    <xf numFmtId="8" fontId="3" fillId="11" borderId="11" xfId="0" applyNumberFormat="1" applyFont="1" applyFill="1" applyBorder="1" applyAlignment="1">
      <alignment horizontal="center" vertical="top"/>
    </xf>
    <xf numFmtId="8" fontId="3" fillId="11" borderId="20" xfId="0" applyNumberFormat="1" applyFont="1" applyFill="1" applyBorder="1" applyAlignment="1">
      <alignment horizontal="center" vertical="top"/>
    </xf>
    <xf numFmtId="0" fontId="31" fillId="0" borderId="0" xfId="2" applyFont="1" applyAlignment="1">
      <alignment horizontal="left" wrapText="1"/>
    </xf>
  </cellXfs>
  <cellStyles count="8">
    <cellStyle name="Comma 2" xfId="3" xr:uid="{88D4E69E-3B6D-438E-9426-F436CD04EE93}"/>
    <cellStyle name="Comma 3" xfId="7" xr:uid="{6AD5E5F7-CBF5-B943-B089-3859FA625879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  <cellStyle name="Normal_Audit return info 2013" xfId="6" xr:uid="{2379F7A0-0E10-694D-9D71-D09ADECEB78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99FF66"/>
      <color rgb="FFB4C6E7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5"/>
  <sheetViews>
    <sheetView zoomScale="120" zoomScaleNormal="120" workbookViewId="0">
      <pane xSplit="5" ySplit="3" topLeftCell="F61" activePane="bottomRight" state="frozen"/>
      <selection pane="topRight" activeCell="E1" sqref="E1"/>
      <selection pane="bottomLeft" activeCell="A4" sqref="A4"/>
      <selection pane="bottomRight" activeCell="H45" sqref="H45"/>
    </sheetView>
  </sheetViews>
  <sheetFormatPr baseColWidth="10" defaultColWidth="8.6640625" defaultRowHeight="14" x14ac:dyDescent="0.2"/>
  <cols>
    <col min="1" max="1" width="15.1640625" style="63" customWidth="1"/>
    <col min="2" max="2" width="11.1640625" style="63" customWidth="1"/>
    <col min="3" max="3" width="7" style="63" customWidth="1"/>
    <col min="4" max="4" width="30.83203125" style="104" customWidth="1"/>
    <col min="5" max="5" width="19.1640625" style="11" customWidth="1"/>
    <col min="6" max="6" width="14.1640625" style="68" customWidth="1"/>
    <col min="7" max="7" width="14.6640625" style="125" customWidth="1"/>
    <col min="8" max="8" width="46.5" style="11" customWidth="1"/>
    <col min="9" max="9" width="9" style="105" customWidth="1"/>
    <col min="10" max="16384" width="8.6640625" style="11"/>
  </cols>
  <sheetData>
    <row r="1" spans="1:14" ht="25.25" customHeight="1" x14ac:dyDescent="0.2">
      <c r="A1" s="10" t="s">
        <v>428</v>
      </c>
      <c r="B1" s="10"/>
      <c r="C1" s="10"/>
    </row>
    <row r="2" spans="1:14" ht="21" thickBot="1" x14ac:dyDescent="0.25">
      <c r="A2" s="11"/>
      <c r="B2" s="10"/>
      <c r="C2" s="10"/>
      <c r="E2" s="12"/>
      <c r="F2" s="69"/>
    </row>
    <row r="3" spans="1:14" s="16" customFormat="1" ht="60" x14ac:dyDescent="0.2">
      <c r="A3" s="13" t="s">
        <v>0</v>
      </c>
      <c r="B3" s="14" t="s">
        <v>1</v>
      </c>
      <c r="C3" s="186" t="s">
        <v>399</v>
      </c>
      <c r="D3" s="15" t="s">
        <v>2</v>
      </c>
      <c r="E3" s="15" t="s">
        <v>429</v>
      </c>
      <c r="F3" s="97" t="s">
        <v>261</v>
      </c>
      <c r="G3" s="126" t="s">
        <v>262</v>
      </c>
      <c r="H3" s="12" t="s">
        <v>139</v>
      </c>
      <c r="I3" s="106" t="s">
        <v>142</v>
      </c>
      <c r="J3" s="103"/>
      <c r="K3" s="103"/>
      <c r="L3" s="103"/>
      <c r="M3" s="103"/>
      <c r="N3" s="103"/>
    </row>
    <row r="4" spans="1:14" ht="19" x14ac:dyDescent="0.2">
      <c r="A4" s="17" t="s">
        <v>3</v>
      </c>
      <c r="B4" s="18"/>
      <c r="C4" s="18"/>
      <c r="D4" s="35"/>
      <c r="E4" s="19"/>
      <c r="F4" s="98"/>
      <c r="G4" s="127"/>
    </row>
    <row r="5" spans="1:14" s="22" customFormat="1" ht="15" customHeight="1" x14ac:dyDescent="0.2">
      <c r="A5" s="20"/>
      <c r="B5" s="21" t="s">
        <v>4</v>
      </c>
      <c r="C5" s="21" t="s">
        <v>400</v>
      </c>
      <c r="D5" s="21" t="s">
        <v>5</v>
      </c>
      <c r="E5" s="94">
        <v>25000</v>
      </c>
      <c r="F5" s="95">
        <f>Activity!H23+Activity!H64</f>
        <v>25000</v>
      </c>
      <c r="G5" s="145">
        <f>E5-F5</f>
        <v>0</v>
      </c>
      <c r="I5" s="107"/>
    </row>
    <row r="6" spans="1:14" s="22" customFormat="1" ht="15" x14ac:dyDescent="0.2">
      <c r="A6" s="23"/>
      <c r="B6" s="21" t="s">
        <v>6</v>
      </c>
      <c r="C6" s="21" t="s">
        <v>401</v>
      </c>
      <c r="D6" s="21" t="s">
        <v>7</v>
      </c>
      <c r="E6" s="41">
        <v>350</v>
      </c>
      <c r="F6" s="138">
        <f>+Activity!H65+Activity!H81+Activity!H82+Activity!H83+Activity!H85+Activity!H86+Activity!H88+Activity!H89+Activity!H90+Activity!H91+Activity!H97+Activity!H98+Activity!H101+Activity!H107+Activity!H108</f>
        <v>350</v>
      </c>
      <c r="G6" s="145">
        <f>E6-F6</f>
        <v>0</v>
      </c>
      <c r="H6" s="178" t="s">
        <v>425</v>
      </c>
      <c r="I6" s="107"/>
    </row>
    <row r="7" spans="1:14" s="22" customFormat="1" ht="15" x14ac:dyDescent="0.2">
      <c r="A7" s="23"/>
      <c r="B7" s="21" t="s">
        <v>8</v>
      </c>
      <c r="C7" s="21" t="s">
        <v>401</v>
      </c>
      <c r="D7" s="21" t="s">
        <v>387</v>
      </c>
      <c r="E7" s="41"/>
      <c r="F7" s="138">
        <f>Activity!H102</f>
        <v>9000</v>
      </c>
      <c r="G7" s="145">
        <f>E7-F7</f>
        <v>-9000</v>
      </c>
      <c r="H7" s="22" t="s">
        <v>523</v>
      </c>
      <c r="I7" s="107"/>
    </row>
    <row r="8" spans="1:14" s="22" customFormat="1" ht="32" customHeight="1" x14ac:dyDescent="0.2">
      <c r="A8" s="23"/>
      <c r="B8" s="21" t="s">
        <v>9</v>
      </c>
      <c r="C8" s="21" t="s">
        <v>401</v>
      </c>
      <c r="D8" s="21" t="s">
        <v>388</v>
      </c>
      <c r="E8" s="95"/>
      <c r="F8" s="138">
        <f>Activity!H24+Activity!H25+Activity!H26+Activity!H113+Activity!H132+Activity!H139+Activity!H168</f>
        <v>1033.33</v>
      </c>
      <c r="G8" s="145">
        <f>E8-F8</f>
        <v>-1033.33</v>
      </c>
      <c r="H8" s="177" t="s">
        <v>750</v>
      </c>
      <c r="I8" s="107"/>
    </row>
    <row r="9" spans="1:14" s="22" customFormat="1" ht="15" x14ac:dyDescent="0.2">
      <c r="A9" s="23"/>
      <c r="B9" s="21" t="s">
        <v>9</v>
      </c>
      <c r="C9" s="21" t="s">
        <v>401</v>
      </c>
      <c r="D9" s="21" t="s">
        <v>223</v>
      </c>
      <c r="E9" s="40"/>
      <c r="F9" s="138">
        <v>4126.55</v>
      </c>
      <c r="G9" s="145">
        <f>E9-F9</f>
        <v>-4126.55</v>
      </c>
      <c r="H9" s="22" t="s">
        <v>602</v>
      </c>
      <c r="I9" s="107"/>
    </row>
    <row r="10" spans="1:14" s="28" customFormat="1" ht="15" customHeight="1" x14ac:dyDescent="0.2">
      <c r="A10" s="24"/>
      <c r="B10" s="25"/>
      <c r="C10" s="25"/>
      <c r="D10" s="26" t="s">
        <v>10</v>
      </c>
      <c r="E10" s="27">
        <f>SUM(E5:E7)</f>
        <v>25350</v>
      </c>
      <c r="F10" s="139">
        <f>SUM(F5:F9)</f>
        <v>39509.880000000005</v>
      </c>
      <c r="G10" s="140">
        <f>(E10-F10)</f>
        <v>-14159.880000000005</v>
      </c>
      <c r="I10" s="108"/>
    </row>
    <row r="11" spans="1:14" s="116" customFormat="1" ht="15" customHeight="1" x14ac:dyDescent="0.2">
      <c r="A11" s="114"/>
      <c r="B11" s="115"/>
      <c r="C11" s="115"/>
      <c r="D11" s="29"/>
      <c r="E11" s="29"/>
      <c r="F11" s="141"/>
      <c r="G11" s="142"/>
      <c r="I11" s="117"/>
    </row>
    <row r="12" spans="1:14" ht="18" x14ac:dyDescent="0.2">
      <c r="A12" s="30" t="s">
        <v>11</v>
      </c>
      <c r="B12" s="31"/>
      <c r="C12" s="31"/>
      <c r="D12" s="35"/>
      <c r="E12" s="32"/>
      <c r="F12" s="143"/>
      <c r="G12" s="144"/>
    </row>
    <row r="13" spans="1:14" s="22" customFormat="1" ht="15" x14ac:dyDescent="0.2">
      <c r="A13" s="33" t="s">
        <v>12</v>
      </c>
      <c r="B13" s="34" t="s">
        <v>13</v>
      </c>
      <c r="C13" s="34" t="s">
        <v>402</v>
      </c>
      <c r="D13" s="35" t="s">
        <v>14</v>
      </c>
      <c r="E13" s="36">
        <v>3725.89</v>
      </c>
      <c r="F13" s="189">
        <f>Activity!M27+Activity!M28+Activity!M44+Activity!M45+Activity!M55+Activity!M56+Activity!M70+Activity!M71+Activity!M75+Activity!M76+Activity!M92+Activity!M93+Activity!M114+Activity!M115+Activity!M133+Activity!M134+Activity!M142+Activity!M143+Activity!M155+Activity!M156+Activity!M161+Activity!M162+Activity!M170+Activity!M171</f>
        <v>3726.24</v>
      </c>
      <c r="G13" s="145">
        <f t="shared" ref="G13:G50" si="0">E13-F13</f>
        <v>-0.34999999999990905</v>
      </c>
      <c r="H13" s="43"/>
      <c r="I13" s="109">
        <f t="shared" ref="I13:I50" si="1">IFERROR(F13/E13,"")</f>
        <v>1.0000939372874669</v>
      </c>
      <c r="J13" s="22" t="str">
        <f>IF(I13="","",IF(I13&gt;100%,"Check",""))</f>
        <v>Check</v>
      </c>
    </row>
    <row r="14" spans="1:14" s="22" customFormat="1" ht="15" x14ac:dyDescent="0.2">
      <c r="A14" s="37"/>
      <c r="B14" s="34" t="s">
        <v>15</v>
      </c>
      <c r="C14" s="34" t="s">
        <v>402</v>
      </c>
      <c r="D14" s="35" t="s">
        <v>16</v>
      </c>
      <c r="E14" s="36">
        <v>372.69</v>
      </c>
      <c r="F14" s="190"/>
      <c r="G14" s="145">
        <f t="shared" si="0"/>
        <v>372.69</v>
      </c>
      <c r="I14" s="109">
        <f t="shared" si="1"/>
        <v>0</v>
      </c>
      <c r="J14" s="22" t="str">
        <f t="shared" ref="J14:J62" si="2">IF(I14="","",IF(I14&gt;100%,"Check",""))</f>
        <v/>
      </c>
    </row>
    <row r="15" spans="1:14" ht="15" x14ac:dyDescent="0.2">
      <c r="A15" s="38"/>
      <c r="B15" s="34" t="s">
        <v>17</v>
      </c>
      <c r="C15" s="34" t="s">
        <v>402</v>
      </c>
      <c r="D15" s="21" t="s">
        <v>18</v>
      </c>
      <c r="E15" s="41">
        <v>1596.81</v>
      </c>
      <c r="F15" s="191">
        <f>Activity!M30+Activity!M31+Activity!M47+Activity!M48+Activity!M58+Activity!M59+Activity!M73+Activity!M74+Activity!M78+Activity!M79+Activity!M95+Activity!M96+Activity!M117+Activity!M118+Activity!M136+Activity!M137+Activity!M145+Activity!M146+Activity!M158+Activity!M159+Activity!M164+Activity!M165+Activity!M173+Activity!M174</f>
        <v>1596.9599999999998</v>
      </c>
      <c r="G15" s="145">
        <f t="shared" si="0"/>
        <v>-0.14999999999986358</v>
      </c>
      <c r="H15" s="43"/>
      <c r="I15" s="109">
        <f t="shared" si="1"/>
        <v>1.0000939372874669</v>
      </c>
      <c r="J15" s="22" t="str">
        <f t="shared" si="2"/>
        <v>Check</v>
      </c>
    </row>
    <row r="16" spans="1:14" ht="17" customHeight="1" x14ac:dyDescent="0.2">
      <c r="A16" s="38"/>
      <c r="B16" s="34" t="s">
        <v>19</v>
      </c>
      <c r="C16" s="34" t="s">
        <v>403</v>
      </c>
      <c r="D16" s="35" t="s">
        <v>20</v>
      </c>
      <c r="E16" s="36">
        <v>500</v>
      </c>
      <c r="F16" s="143">
        <f>Activity!M35+Activity!M41+Activity!M42+Activity!M46+Activity!M50+Activity!M57+Activity!M72+Activity!M77+Activity!I94+Activity!M116+Activity!M121+Activity!M131+Activity!M135+Activity!M147+Activity!M154+Activity!M157+Activity!M163+Activity!M166+Activity!M172</f>
        <v>349.76999999999992</v>
      </c>
      <c r="G16" s="145">
        <f t="shared" si="0"/>
        <v>150.23000000000008</v>
      </c>
      <c r="H16" s="11" t="s">
        <v>451</v>
      </c>
      <c r="I16" s="109">
        <f t="shared" si="1"/>
        <v>0.69953999999999983</v>
      </c>
      <c r="J16" s="22" t="str">
        <f t="shared" si="2"/>
        <v/>
      </c>
    </row>
    <row r="17" spans="1:10" ht="15" customHeight="1" x14ac:dyDescent="0.2">
      <c r="A17" s="38"/>
      <c r="B17" s="34" t="s">
        <v>21</v>
      </c>
      <c r="C17" s="34" t="s">
        <v>403</v>
      </c>
      <c r="D17" s="35" t="s">
        <v>107</v>
      </c>
      <c r="E17" s="36">
        <v>35</v>
      </c>
      <c r="F17" s="143">
        <f>+Activity!M87</f>
        <v>35</v>
      </c>
      <c r="G17" s="145">
        <f t="shared" si="0"/>
        <v>0</v>
      </c>
      <c r="I17" s="109">
        <f t="shared" si="1"/>
        <v>1</v>
      </c>
      <c r="J17" s="22" t="str">
        <f t="shared" si="2"/>
        <v/>
      </c>
    </row>
    <row r="18" spans="1:10" ht="28" customHeight="1" x14ac:dyDescent="0.2">
      <c r="A18" s="38"/>
      <c r="B18" s="34" t="s">
        <v>23</v>
      </c>
      <c r="C18" s="34" t="s">
        <v>403</v>
      </c>
      <c r="D18" s="35" t="s">
        <v>22</v>
      </c>
      <c r="E18" s="36">
        <v>650</v>
      </c>
      <c r="F18" s="143">
        <f>Activity!M151</f>
        <v>842.96</v>
      </c>
      <c r="G18" s="145">
        <f t="shared" si="0"/>
        <v>-192.96000000000004</v>
      </c>
      <c r="H18" s="104" t="s">
        <v>603</v>
      </c>
      <c r="I18" s="109">
        <f t="shared" si="1"/>
        <v>1.2968615384615385</v>
      </c>
      <c r="J18" s="22" t="str">
        <f t="shared" si="2"/>
        <v>Check</v>
      </c>
    </row>
    <row r="19" spans="1:10" ht="15" customHeight="1" x14ac:dyDescent="0.2">
      <c r="A19" s="38"/>
      <c r="B19" s="34" t="s">
        <v>25</v>
      </c>
      <c r="C19" s="34" t="s">
        <v>403</v>
      </c>
      <c r="D19" s="35" t="s">
        <v>24</v>
      </c>
      <c r="E19" s="36">
        <v>400</v>
      </c>
      <c r="F19" s="143">
        <f>Activity!M33+Activity!M69</f>
        <v>525</v>
      </c>
      <c r="G19" s="145">
        <f t="shared" si="0"/>
        <v>-125</v>
      </c>
      <c r="H19" s="11" t="s">
        <v>507</v>
      </c>
      <c r="I19" s="109">
        <f t="shared" si="1"/>
        <v>1.3125</v>
      </c>
      <c r="J19" s="22" t="str">
        <f t="shared" si="2"/>
        <v>Check</v>
      </c>
    </row>
    <row r="20" spans="1:10" ht="15" customHeight="1" x14ac:dyDescent="0.2">
      <c r="A20" s="38"/>
      <c r="B20" s="34" t="s">
        <v>27</v>
      </c>
      <c r="C20" s="34" t="s">
        <v>403</v>
      </c>
      <c r="D20" s="35" t="s">
        <v>26</v>
      </c>
      <c r="E20" s="36">
        <v>0</v>
      </c>
      <c r="F20" s="143"/>
      <c r="G20" s="145">
        <f t="shared" si="0"/>
        <v>0</v>
      </c>
      <c r="I20" s="109" t="str">
        <f t="shared" si="1"/>
        <v/>
      </c>
      <c r="J20" s="22" t="str">
        <f t="shared" si="2"/>
        <v/>
      </c>
    </row>
    <row r="21" spans="1:10" ht="15" customHeight="1" x14ac:dyDescent="0.2">
      <c r="A21" s="33"/>
      <c r="B21" s="34" t="s">
        <v>172</v>
      </c>
      <c r="C21" s="34" t="s">
        <v>403</v>
      </c>
      <c r="D21" s="35" t="s">
        <v>28</v>
      </c>
      <c r="E21" s="36">
        <v>250</v>
      </c>
      <c r="F21" s="143">
        <f>Activity!M32+Activity!M60+Activity!M149</f>
        <v>190.36</v>
      </c>
      <c r="G21" s="145">
        <f t="shared" si="0"/>
        <v>59.639999999999986</v>
      </c>
      <c r="I21" s="109">
        <f t="shared" si="1"/>
        <v>0.76144000000000001</v>
      </c>
      <c r="J21" s="22" t="str">
        <f t="shared" si="2"/>
        <v/>
      </c>
    </row>
    <row r="22" spans="1:10" ht="17" customHeight="1" x14ac:dyDescent="0.2">
      <c r="A22" s="33" t="s">
        <v>48</v>
      </c>
      <c r="B22" s="34" t="s">
        <v>49</v>
      </c>
      <c r="C22" s="34" t="s">
        <v>403</v>
      </c>
      <c r="D22" s="35" t="s">
        <v>481</v>
      </c>
      <c r="E22" s="36">
        <v>400</v>
      </c>
      <c r="F22" s="143">
        <f>+Activity!M67</f>
        <v>400</v>
      </c>
      <c r="G22" s="145">
        <f t="shared" si="0"/>
        <v>0</v>
      </c>
      <c r="H22" s="104"/>
      <c r="I22" s="109">
        <f t="shared" si="1"/>
        <v>1</v>
      </c>
      <c r="J22" s="22" t="str">
        <f t="shared" si="2"/>
        <v/>
      </c>
    </row>
    <row r="23" spans="1:10" ht="15" customHeight="1" x14ac:dyDescent="0.2">
      <c r="A23" s="38"/>
      <c r="B23" s="34" t="s">
        <v>50</v>
      </c>
      <c r="C23" s="34" t="s">
        <v>403</v>
      </c>
      <c r="D23" s="35" t="s">
        <v>51</v>
      </c>
      <c r="E23" s="36">
        <v>140</v>
      </c>
      <c r="F23" s="143">
        <f>Activity!M22+Activity!M54+Activity!M99+Activity!M148</f>
        <v>236.32</v>
      </c>
      <c r="G23" s="145">
        <f t="shared" si="0"/>
        <v>-96.32</v>
      </c>
      <c r="H23" s="43"/>
      <c r="I23" s="109">
        <f t="shared" si="1"/>
        <v>1.6879999999999999</v>
      </c>
      <c r="J23" s="22" t="str">
        <f t="shared" si="2"/>
        <v>Check</v>
      </c>
    </row>
    <row r="24" spans="1:10" ht="15" customHeight="1" x14ac:dyDescent="0.2">
      <c r="A24" s="42"/>
      <c r="B24" s="19" t="s">
        <v>52</v>
      </c>
      <c r="C24" s="34" t="s">
        <v>403</v>
      </c>
      <c r="D24" s="35" t="s">
        <v>53</v>
      </c>
      <c r="E24" s="36">
        <v>0</v>
      </c>
      <c r="F24" s="143"/>
      <c r="G24" s="145">
        <f t="shared" si="0"/>
        <v>0</v>
      </c>
      <c r="H24" s="43"/>
      <c r="I24" s="109" t="str">
        <f t="shared" si="1"/>
        <v/>
      </c>
      <c r="J24" s="22" t="str">
        <f t="shared" si="2"/>
        <v/>
      </c>
    </row>
    <row r="25" spans="1:10" ht="15" customHeight="1" x14ac:dyDescent="0.2">
      <c r="A25" s="42"/>
      <c r="B25" s="19" t="s">
        <v>54</v>
      </c>
      <c r="C25" s="34" t="s">
        <v>403</v>
      </c>
      <c r="D25" s="35" t="s">
        <v>55</v>
      </c>
      <c r="E25" s="36">
        <v>0</v>
      </c>
      <c r="F25" s="143"/>
      <c r="G25" s="145">
        <f t="shared" si="0"/>
        <v>0</v>
      </c>
      <c r="I25" s="109" t="str">
        <f t="shared" si="1"/>
        <v/>
      </c>
      <c r="J25" s="22" t="str">
        <f t="shared" si="2"/>
        <v/>
      </c>
    </row>
    <row r="26" spans="1:10" s="22" customFormat="1" ht="15" customHeight="1" x14ac:dyDescent="0.2">
      <c r="A26" s="39" t="s">
        <v>39</v>
      </c>
      <c r="B26" s="40" t="s">
        <v>40</v>
      </c>
      <c r="C26" s="40" t="s">
        <v>403</v>
      </c>
      <c r="D26" s="74" t="s">
        <v>108</v>
      </c>
      <c r="E26" s="41">
        <v>660</v>
      </c>
      <c r="F26" s="143">
        <f>+Activity!M112+Activity!M126</f>
        <v>655</v>
      </c>
      <c r="G26" s="145">
        <f t="shared" si="0"/>
        <v>5</v>
      </c>
      <c r="H26" s="22" t="s">
        <v>426</v>
      </c>
      <c r="I26" s="109">
        <f t="shared" si="1"/>
        <v>0.99242424242424243</v>
      </c>
      <c r="J26" s="22" t="str">
        <f t="shared" si="2"/>
        <v/>
      </c>
    </row>
    <row r="27" spans="1:10" ht="15" customHeight="1" x14ac:dyDescent="0.2">
      <c r="A27" s="37"/>
      <c r="B27" s="40" t="s">
        <v>41</v>
      </c>
      <c r="C27" s="40" t="s">
        <v>403</v>
      </c>
      <c r="D27" s="21" t="s">
        <v>42</v>
      </c>
      <c r="E27" s="41">
        <v>250</v>
      </c>
      <c r="F27" s="143">
        <f>Activity!M21+Activity!M40+Activity!M119</f>
        <v>380.85</v>
      </c>
      <c r="G27" s="145">
        <f t="shared" si="0"/>
        <v>-130.85000000000002</v>
      </c>
      <c r="H27" s="11" t="s">
        <v>542</v>
      </c>
      <c r="I27" s="109">
        <f t="shared" si="1"/>
        <v>1.5234000000000001</v>
      </c>
      <c r="J27" s="22" t="str">
        <f t="shared" si="2"/>
        <v>Check</v>
      </c>
    </row>
    <row r="28" spans="1:10" ht="31" customHeight="1" x14ac:dyDescent="0.2">
      <c r="A28" s="45"/>
      <c r="B28" s="19" t="s">
        <v>106</v>
      </c>
      <c r="C28" s="40" t="s">
        <v>403</v>
      </c>
      <c r="D28" s="35" t="s">
        <v>243</v>
      </c>
      <c r="E28" s="36">
        <v>750</v>
      </c>
      <c r="F28" s="143">
        <f>+Activity!M51+Activity!M52+Activity!M104+Activity!M122+Activity!M152</f>
        <v>1097.98</v>
      </c>
      <c r="G28" s="145">
        <f t="shared" si="0"/>
        <v>-347.98</v>
      </c>
      <c r="I28" s="109">
        <f t="shared" si="1"/>
        <v>1.4639733333333333</v>
      </c>
      <c r="J28" s="22" t="str">
        <f t="shared" si="2"/>
        <v>Check</v>
      </c>
    </row>
    <row r="29" spans="1:10" ht="15" customHeight="1" x14ac:dyDescent="0.2">
      <c r="A29" s="45"/>
      <c r="B29" s="19" t="s">
        <v>155</v>
      </c>
      <c r="C29" s="40" t="s">
        <v>403</v>
      </c>
      <c r="D29" s="35" t="s">
        <v>161</v>
      </c>
      <c r="E29" s="36">
        <v>0</v>
      </c>
      <c r="F29" s="143"/>
      <c r="G29" s="145">
        <f t="shared" si="0"/>
        <v>0</v>
      </c>
      <c r="I29" s="109" t="str">
        <f t="shared" si="1"/>
        <v/>
      </c>
      <c r="J29" s="22" t="str">
        <f t="shared" si="2"/>
        <v/>
      </c>
    </row>
    <row r="30" spans="1:10" ht="15" customHeight="1" x14ac:dyDescent="0.2">
      <c r="A30" s="45"/>
      <c r="B30" s="19" t="s">
        <v>159</v>
      </c>
      <c r="C30" s="40" t="s">
        <v>403</v>
      </c>
      <c r="D30" s="35" t="s">
        <v>173</v>
      </c>
      <c r="E30" s="36"/>
      <c r="F30" s="143">
        <f>+Activity!M120+Activity!M128+Activity!M129+Activity!M130+Activity!M140</f>
        <v>261.73</v>
      </c>
      <c r="G30" s="145">
        <f t="shared" si="0"/>
        <v>-261.73</v>
      </c>
      <c r="I30" s="109" t="str">
        <f t="shared" si="1"/>
        <v/>
      </c>
      <c r="J30" s="22" t="str">
        <f t="shared" si="2"/>
        <v/>
      </c>
    </row>
    <row r="31" spans="1:10" s="43" customFormat="1" ht="58" customHeight="1" x14ac:dyDescent="0.2">
      <c r="A31" s="45"/>
      <c r="B31" s="19" t="s">
        <v>165</v>
      </c>
      <c r="C31" s="40" t="s">
        <v>403</v>
      </c>
      <c r="D31" s="35" t="s">
        <v>170</v>
      </c>
      <c r="E31" s="36">
        <v>1000</v>
      </c>
      <c r="F31" s="143">
        <f>Activity!M36+Activity!M68+Activity!M103+Activity!M105+Activity!M109+Activity!M110+Activity!M124+Activity!M125+Activity!M138+Activity!M169</f>
        <v>813.85</v>
      </c>
      <c r="G31" s="145">
        <f t="shared" si="0"/>
        <v>186.14999999999998</v>
      </c>
      <c r="H31" s="104" t="s">
        <v>424</v>
      </c>
      <c r="I31" s="109">
        <f t="shared" si="1"/>
        <v>0.81385000000000007</v>
      </c>
      <c r="J31" s="22" t="str">
        <f t="shared" si="2"/>
        <v/>
      </c>
    </row>
    <row r="32" spans="1:10" s="43" customFormat="1" ht="15" customHeight="1" x14ac:dyDescent="0.2">
      <c r="A32" s="33" t="s">
        <v>56</v>
      </c>
      <c r="B32" s="19" t="s">
        <v>57</v>
      </c>
      <c r="C32" s="34" t="s">
        <v>403</v>
      </c>
      <c r="D32" s="35" t="s">
        <v>140</v>
      </c>
      <c r="E32" s="36">
        <v>7000</v>
      </c>
      <c r="F32" s="143">
        <f>Activity!M37+Activity!M43+Activity!M53+Activity!M63+Activity!M84+Activity!M100+Activity!M123</f>
        <v>3522</v>
      </c>
      <c r="G32" s="145">
        <f t="shared" si="0"/>
        <v>3478</v>
      </c>
      <c r="H32" s="11"/>
      <c r="I32" s="109">
        <f t="shared" si="1"/>
        <v>0.50314285714285711</v>
      </c>
      <c r="J32" s="22" t="str">
        <f t="shared" si="2"/>
        <v/>
      </c>
    </row>
    <row r="33" spans="1:10" s="43" customFormat="1" ht="17" customHeight="1" x14ac:dyDescent="0.2">
      <c r="A33" s="37" t="s">
        <v>153</v>
      </c>
      <c r="B33" s="19" t="s">
        <v>58</v>
      </c>
      <c r="C33" s="34" t="s">
        <v>403</v>
      </c>
      <c r="D33" s="35" t="s">
        <v>174</v>
      </c>
      <c r="E33" s="36">
        <v>750</v>
      </c>
      <c r="F33" s="143"/>
      <c r="G33" s="145">
        <f t="shared" si="0"/>
        <v>750</v>
      </c>
      <c r="H33" s="22"/>
      <c r="I33" s="109">
        <f t="shared" si="1"/>
        <v>0</v>
      </c>
      <c r="J33" s="22" t="str">
        <f t="shared" si="2"/>
        <v/>
      </c>
    </row>
    <row r="34" spans="1:10" s="43" customFormat="1" ht="15" customHeight="1" x14ac:dyDescent="0.2">
      <c r="A34" s="44" t="s">
        <v>154</v>
      </c>
      <c r="B34" s="19" t="s">
        <v>59</v>
      </c>
      <c r="C34" s="34" t="s">
        <v>403</v>
      </c>
      <c r="D34" s="35" t="s">
        <v>60</v>
      </c>
      <c r="E34" s="36">
        <v>300</v>
      </c>
      <c r="F34" s="143">
        <f>+Activity!M66</f>
        <v>320</v>
      </c>
      <c r="G34" s="145">
        <f t="shared" si="0"/>
        <v>-20</v>
      </c>
      <c r="H34" s="11"/>
      <c r="I34" s="109">
        <f t="shared" si="1"/>
        <v>1.0666666666666667</v>
      </c>
      <c r="J34" s="22" t="str">
        <f t="shared" si="2"/>
        <v>Check</v>
      </c>
    </row>
    <row r="35" spans="1:10" ht="45" customHeight="1" x14ac:dyDescent="0.2">
      <c r="A35" s="38"/>
      <c r="B35" s="19" t="s">
        <v>61</v>
      </c>
      <c r="C35" s="34" t="s">
        <v>403</v>
      </c>
      <c r="D35" s="35" t="s">
        <v>62</v>
      </c>
      <c r="E35" s="36">
        <v>300</v>
      </c>
      <c r="F35" s="143"/>
      <c r="G35" s="145">
        <f t="shared" si="0"/>
        <v>300</v>
      </c>
      <c r="H35" s="104" t="s">
        <v>427</v>
      </c>
      <c r="I35" s="109">
        <f t="shared" si="1"/>
        <v>0</v>
      </c>
      <c r="J35" s="22" t="str">
        <f t="shared" si="2"/>
        <v/>
      </c>
    </row>
    <row r="36" spans="1:10" s="22" customFormat="1" ht="15" customHeight="1" x14ac:dyDescent="0.2">
      <c r="A36" s="38"/>
      <c r="B36" s="19" t="s">
        <v>63</v>
      </c>
      <c r="C36" s="34" t="s">
        <v>403</v>
      </c>
      <c r="D36" s="35" t="s">
        <v>136</v>
      </c>
      <c r="E36" s="36">
        <v>0</v>
      </c>
      <c r="F36" s="143"/>
      <c r="G36" s="145">
        <f t="shared" si="0"/>
        <v>0</v>
      </c>
      <c r="H36" s="11"/>
      <c r="I36" s="109" t="str">
        <f t="shared" si="1"/>
        <v/>
      </c>
      <c r="J36" s="22" t="str">
        <f t="shared" si="2"/>
        <v/>
      </c>
    </row>
    <row r="37" spans="1:10" ht="43" customHeight="1" x14ac:dyDescent="0.2">
      <c r="A37" s="38"/>
      <c r="B37" s="19" t="s">
        <v>64</v>
      </c>
      <c r="C37" s="34" t="s">
        <v>403</v>
      </c>
      <c r="D37" s="35" t="s">
        <v>137</v>
      </c>
      <c r="E37" s="36">
        <v>1200</v>
      </c>
      <c r="F37" s="143">
        <f>+Activity!M111+Activity!M153</f>
        <v>1400</v>
      </c>
      <c r="G37" s="145">
        <f t="shared" si="0"/>
        <v>-200</v>
      </c>
      <c r="H37" s="167" t="s">
        <v>645</v>
      </c>
      <c r="I37" s="109">
        <f t="shared" si="1"/>
        <v>1.1666666666666667</v>
      </c>
      <c r="J37" s="22" t="str">
        <f t="shared" si="2"/>
        <v>Check</v>
      </c>
    </row>
    <row r="38" spans="1:10" ht="15" customHeight="1" x14ac:dyDescent="0.2">
      <c r="A38" s="38"/>
      <c r="B38" s="19" t="s">
        <v>66</v>
      </c>
      <c r="C38" s="34" t="s">
        <v>403</v>
      </c>
      <c r="D38" s="35" t="s">
        <v>65</v>
      </c>
      <c r="E38" s="36">
        <v>200</v>
      </c>
      <c r="F38" s="143"/>
      <c r="G38" s="145">
        <f t="shared" si="0"/>
        <v>200</v>
      </c>
      <c r="I38" s="109">
        <f t="shared" si="1"/>
        <v>0</v>
      </c>
      <c r="J38" s="22" t="str">
        <f t="shared" si="2"/>
        <v/>
      </c>
    </row>
    <row r="39" spans="1:10" ht="15" customHeight="1" x14ac:dyDescent="0.2">
      <c r="A39" s="37"/>
      <c r="B39" s="19" t="s">
        <v>68</v>
      </c>
      <c r="C39" s="34" t="s">
        <v>403</v>
      </c>
      <c r="D39" s="35" t="s">
        <v>67</v>
      </c>
      <c r="E39" s="36">
        <v>400</v>
      </c>
      <c r="F39" s="143">
        <f>Activity!M167</f>
        <v>370.23999999999995</v>
      </c>
      <c r="G39" s="145">
        <f t="shared" si="0"/>
        <v>29.760000000000048</v>
      </c>
      <c r="H39" s="22"/>
      <c r="I39" s="109">
        <f t="shared" si="1"/>
        <v>0.92559999999999987</v>
      </c>
      <c r="J39" s="22" t="str">
        <f t="shared" si="2"/>
        <v/>
      </c>
    </row>
    <row r="40" spans="1:10" ht="30" x14ac:dyDescent="0.2">
      <c r="A40" s="45"/>
      <c r="B40" s="19" t="s">
        <v>69</v>
      </c>
      <c r="C40" s="34" t="s">
        <v>403</v>
      </c>
      <c r="D40" s="35" t="s">
        <v>446</v>
      </c>
      <c r="E40" s="36">
        <v>200</v>
      </c>
      <c r="F40" s="143">
        <f>Activity!M38+Activity!M39+Activity!M80+Activity!M127+Activity!M150+Activity!M175</f>
        <v>519.71</v>
      </c>
      <c r="G40" s="145">
        <f t="shared" si="0"/>
        <v>-319.71000000000004</v>
      </c>
      <c r="H40" s="104" t="s">
        <v>582</v>
      </c>
      <c r="I40" s="109">
        <f t="shared" si="1"/>
        <v>2.5985500000000004</v>
      </c>
      <c r="J40" s="22" t="str">
        <f t="shared" si="2"/>
        <v>Check</v>
      </c>
    </row>
    <row r="41" spans="1:10" ht="15" customHeight="1" x14ac:dyDescent="0.2">
      <c r="A41" s="45"/>
      <c r="B41" s="19" t="s">
        <v>156</v>
      </c>
      <c r="C41" s="40" t="s">
        <v>403</v>
      </c>
      <c r="D41" s="35" t="s">
        <v>158</v>
      </c>
      <c r="E41" s="36">
        <v>0</v>
      </c>
      <c r="F41" s="143"/>
      <c r="G41" s="145">
        <f t="shared" si="0"/>
        <v>0</v>
      </c>
      <c r="H41" s="104"/>
      <c r="I41" s="109" t="str">
        <f t="shared" si="1"/>
        <v/>
      </c>
      <c r="J41" s="22" t="str">
        <f t="shared" si="2"/>
        <v/>
      </c>
    </row>
    <row r="42" spans="1:10" s="22" customFormat="1" ht="44" customHeight="1" x14ac:dyDescent="0.2">
      <c r="A42" s="45"/>
      <c r="B42" s="19" t="s">
        <v>157</v>
      </c>
      <c r="C42" s="34" t="s">
        <v>403</v>
      </c>
      <c r="D42" s="35" t="s">
        <v>175</v>
      </c>
      <c r="E42" s="36">
        <v>6000</v>
      </c>
      <c r="F42" s="192">
        <f>+Activity!M49+Activity!M141</f>
        <v>652.15</v>
      </c>
      <c r="G42" s="145">
        <f t="shared" si="0"/>
        <v>5347.85</v>
      </c>
      <c r="H42" s="104" t="s">
        <v>767</v>
      </c>
      <c r="I42" s="109">
        <f t="shared" si="1"/>
        <v>0.10869166666666666</v>
      </c>
      <c r="J42" s="22" t="str">
        <f t="shared" si="2"/>
        <v/>
      </c>
    </row>
    <row r="43" spans="1:10" ht="33" customHeight="1" x14ac:dyDescent="0.2">
      <c r="A43" s="39" t="s">
        <v>37</v>
      </c>
      <c r="B43" s="40" t="s">
        <v>38</v>
      </c>
      <c r="C43" s="40"/>
      <c r="D43" s="21" t="s">
        <v>37</v>
      </c>
      <c r="E43" s="41">
        <v>0</v>
      </c>
      <c r="F43" s="143"/>
      <c r="G43" s="145">
        <f t="shared" si="0"/>
        <v>0</v>
      </c>
      <c r="I43" s="109" t="str">
        <f t="shared" si="1"/>
        <v/>
      </c>
      <c r="J43" s="22" t="str">
        <f t="shared" si="2"/>
        <v/>
      </c>
    </row>
    <row r="44" spans="1:10" ht="30" customHeight="1" x14ac:dyDescent="0.2">
      <c r="A44" s="33" t="s">
        <v>43</v>
      </c>
      <c r="B44" s="34" t="s">
        <v>44</v>
      </c>
      <c r="C44" s="34" t="s">
        <v>404</v>
      </c>
      <c r="D44" s="35" t="s">
        <v>45</v>
      </c>
      <c r="E44" s="36">
        <v>0</v>
      </c>
      <c r="F44" s="143"/>
      <c r="G44" s="145">
        <f t="shared" si="0"/>
        <v>0</v>
      </c>
      <c r="I44" s="109" t="str">
        <f t="shared" si="1"/>
        <v/>
      </c>
      <c r="J44" s="22" t="str">
        <f t="shared" si="2"/>
        <v/>
      </c>
    </row>
    <row r="45" spans="1:10" ht="29" customHeight="1" x14ac:dyDescent="0.2">
      <c r="A45" s="38"/>
      <c r="B45" s="34" t="s">
        <v>46</v>
      </c>
      <c r="C45" s="40" t="s">
        <v>403</v>
      </c>
      <c r="D45" s="35" t="s">
        <v>47</v>
      </c>
      <c r="E45" s="36">
        <v>650</v>
      </c>
      <c r="F45" s="192">
        <f>+Activity!M62+Activity!M176</f>
        <v>501</v>
      </c>
      <c r="G45" s="145">
        <f t="shared" si="0"/>
        <v>149</v>
      </c>
      <c r="H45" s="43"/>
      <c r="I45" s="109">
        <f t="shared" si="1"/>
        <v>0.77076923076923076</v>
      </c>
      <c r="J45" s="22" t="str">
        <f t="shared" si="2"/>
        <v/>
      </c>
    </row>
    <row r="46" spans="1:10" ht="30" customHeight="1" x14ac:dyDescent="0.2">
      <c r="A46" s="33" t="s">
        <v>29</v>
      </c>
      <c r="B46" s="34" t="s">
        <v>30</v>
      </c>
      <c r="C46" s="34" t="s">
        <v>403</v>
      </c>
      <c r="D46" s="35" t="s">
        <v>102</v>
      </c>
      <c r="E46" s="32">
        <v>300</v>
      </c>
      <c r="F46" s="143">
        <f>+Activity!M61</f>
        <v>302.92</v>
      </c>
      <c r="G46" s="145">
        <f t="shared" si="0"/>
        <v>-2.9200000000000159</v>
      </c>
      <c r="H46" s="11" t="s">
        <v>644</v>
      </c>
      <c r="I46" s="109">
        <f t="shared" si="1"/>
        <v>1.0097333333333334</v>
      </c>
      <c r="J46" s="22" t="str">
        <f t="shared" si="2"/>
        <v>Check</v>
      </c>
    </row>
    <row r="47" spans="1:10" ht="15" customHeight="1" x14ac:dyDescent="0.2">
      <c r="A47" s="38"/>
      <c r="B47" s="34" t="s">
        <v>32</v>
      </c>
      <c r="C47" s="34" t="s">
        <v>403</v>
      </c>
      <c r="D47" s="35" t="s">
        <v>33</v>
      </c>
      <c r="E47" s="32">
        <v>0</v>
      </c>
      <c r="F47" s="11"/>
      <c r="G47" s="145">
        <f t="shared" si="0"/>
        <v>0</v>
      </c>
      <c r="I47" s="109" t="str">
        <f t="shared" si="1"/>
        <v/>
      </c>
      <c r="J47" s="22" t="str">
        <f t="shared" si="2"/>
        <v/>
      </c>
    </row>
    <row r="48" spans="1:10" ht="15" customHeight="1" x14ac:dyDescent="0.2">
      <c r="A48" s="38"/>
      <c r="B48" s="34" t="s">
        <v>34</v>
      </c>
      <c r="C48" s="34" t="s">
        <v>403</v>
      </c>
      <c r="D48" s="35" t="s">
        <v>35</v>
      </c>
      <c r="E48" s="32">
        <v>114</v>
      </c>
      <c r="F48" s="143">
        <f>Activity!M34</f>
        <v>112</v>
      </c>
      <c r="G48" s="145">
        <f t="shared" si="0"/>
        <v>2</v>
      </c>
      <c r="I48" s="109">
        <f t="shared" si="1"/>
        <v>0.98245614035087714</v>
      </c>
      <c r="J48" s="22" t="str">
        <f t="shared" si="2"/>
        <v/>
      </c>
    </row>
    <row r="49" spans="1:10" ht="15" customHeight="1" x14ac:dyDescent="0.2">
      <c r="A49" s="38"/>
      <c r="B49" s="34" t="s">
        <v>36</v>
      </c>
      <c r="C49" s="34" t="s">
        <v>403</v>
      </c>
      <c r="D49" s="35" t="s">
        <v>309</v>
      </c>
      <c r="E49" s="32">
        <v>500</v>
      </c>
      <c r="F49" s="143"/>
      <c r="G49" s="145">
        <f t="shared" si="0"/>
        <v>500</v>
      </c>
      <c r="H49" s="11" t="s">
        <v>430</v>
      </c>
      <c r="I49" s="109">
        <f t="shared" si="1"/>
        <v>0</v>
      </c>
      <c r="J49" s="22" t="str">
        <f t="shared" si="2"/>
        <v/>
      </c>
    </row>
    <row r="50" spans="1:10" ht="15" customHeight="1" x14ac:dyDescent="0.2">
      <c r="A50" s="45"/>
      <c r="B50" s="19"/>
      <c r="C50" s="19"/>
      <c r="D50" s="35"/>
      <c r="E50" s="36"/>
      <c r="F50" s="143"/>
      <c r="G50" s="145">
        <f t="shared" si="0"/>
        <v>0</v>
      </c>
      <c r="I50" s="109" t="str">
        <f t="shared" si="1"/>
        <v/>
      </c>
      <c r="J50" s="22" t="str">
        <f t="shared" si="2"/>
        <v/>
      </c>
    </row>
    <row r="51" spans="1:10" s="48" customFormat="1" ht="15" customHeight="1" x14ac:dyDescent="0.2">
      <c r="A51" s="46"/>
      <c r="B51" s="47"/>
      <c r="C51" s="47"/>
      <c r="D51" s="47" t="s">
        <v>10</v>
      </c>
      <c r="E51" s="199">
        <f>SUM(E13:E50)</f>
        <v>28644.39</v>
      </c>
      <c r="F51" s="199">
        <f>SUM(F13:F50)</f>
        <v>18812.039999999997</v>
      </c>
      <c r="G51" s="199">
        <f>SUM(G13:G50)</f>
        <v>9832.35</v>
      </c>
      <c r="I51" s="109">
        <f t="shared" ref="I51:I60" si="3">IFERROR(F51/E51,"")</f>
        <v>0.65674430490577729</v>
      </c>
      <c r="J51" s="22" t="str">
        <f t="shared" si="2"/>
        <v/>
      </c>
    </row>
    <row r="52" spans="1:10" ht="15" customHeight="1" x14ac:dyDescent="0.2">
      <c r="A52" s="49"/>
      <c r="B52" s="35"/>
      <c r="C52" s="35"/>
      <c r="D52" s="35"/>
      <c r="E52" s="200"/>
      <c r="F52" s="201"/>
      <c r="G52" s="202"/>
      <c r="I52" s="109" t="str">
        <f t="shared" si="3"/>
        <v/>
      </c>
      <c r="J52" s="22" t="str">
        <f t="shared" si="2"/>
        <v/>
      </c>
    </row>
    <row r="53" spans="1:10" s="52" customFormat="1" ht="18" x14ac:dyDescent="0.2">
      <c r="A53" s="50" t="s">
        <v>70</v>
      </c>
      <c r="B53" s="51"/>
      <c r="C53" s="51"/>
      <c r="D53" s="119"/>
      <c r="E53" s="203"/>
      <c r="F53" s="204"/>
      <c r="G53" s="205"/>
      <c r="I53" s="109" t="str">
        <f t="shared" si="3"/>
        <v/>
      </c>
      <c r="J53" s="22" t="str">
        <f t="shared" si="2"/>
        <v/>
      </c>
    </row>
    <row r="54" spans="1:10" ht="15" customHeight="1" x14ac:dyDescent="0.2">
      <c r="A54" s="53" t="s">
        <v>71</v>
      </c>
      <c r="B54" s="35" t="s">
        <v>72</v>
      </c>
      <c r="C54" s="35"/>
      <c r="D54" s="35" t="s">
        <v>73</v>
      </c>
      <c r="E54" s="206">
        <v>0</v>
      </c>
      <c r="F54" s="207"/>
      <c r="G54" s="208">
        <f>E54-F54</f>
        <v>0</v>
      </c>
      <c r="I54" s="109" t="str">
        <f t="shared" si="3"/>
        <v/>
      </c>
      <c r="J54" s="22" t="str">
        <f t="shared" si="2"/>
        <v/>
      </c>
    </row>
    <row r="55" spans="1:10" ht="30" customHeight="1" x14ac:dyDescent="0.2">
      <c r="A55" s="45"/>
      <c r="B55" s="35" t="s">
        <v>74</v>
      </c>
      <c r="C55" s="35"/>
      <c r="D55" s="35" t="s">
        <v>183</v>
      </c>
      <c r="E55" s="200">
        <v>0</v>
      </c>
      <c r="F55" s="207">
        <f>Activity!M106</f>
        <v>11390</v>
      </c>
      <c r="G55" s="208">
        <f>E55-F55</f>
        <v>-11390</v>
      </c>
      <c r="H55" s="104" t="s">
        <v>524</v>
      </c>
      <c r="I55" s="109" t="str">
        <f t="shared" si="3"/>
        <v/>
      </c>
      <c r="J55" s="22" t="str">
        <f t="shared" si="2"/>
        <v/>
      </c>
    </row>
    <row r="56" spans="1:10" ht="15" customHeight="1" x14ac:dyDescent="0.2">
      <c r="A56" s="45"/>
      <c r="B56" s="35" t="s">
        <v>75</v>
      </c>
      <c r="C56" s="35"/>
      <c r="D56" s="35" t="s">
        <v>310</v>
      </c>
      <c r="E56" s="200">
        <v>0</v>
      </c>
      <c r="F56" s="207"/>
      <c r="G56" s="208">
        <f>E56-F56</f>
        <v>0</v>
      </c>
      <c r="I56" s="109" t="str">
        <f t="shared" si="3"/>
        <v/>
      </c>
      <c r="J56" s="22" t="str">
        <f t="shared" si="2"/>
        <v/>
      </c>
    </row>
    <row r="57" spans="1:10" s="48" customFormat="1" ht="15" customHeight="1" x14ac:dyDescent="0.2">
      <c r="A57" s="54"/>
      <c r="B57" s="55"/>
      <c r="C57" s="55"/>
      <c r="D57" s="47" t="s">
        <v>10</v>
      </c>
      <c r="E57" s="209">
        <f>SUM(E54:E56)</f>
        <v>0</v>
      </c>
      <c r="F57" s="210">
        <f>SUM(F54:F56)</f>
        <v>11390</v>
      </c>
      <c r="G57" s="211">
        <f>E57-F57</f>
        <v>-11390</v>
      </c>
      <c r="I57" s="109" t="str">
        <f t="shared" si="3"/>
        <v/>
      </c>
      <c r="J57" s="22" t="str">
        <f t="shared" si="2"/>
        <v/>
      </c>
    </row>
    <row r="58" spans="1:10" ht="15" customHeight="1" x14ac:dyDescent="0.2">
      <c r="A58" s="45"/>
      <c r="B58" s="34"/>
      <c r="C58" s="34"/>
      <c r="D58" s="35"/>
      <c r="E58" s="212"/>
      <c r="F58" s="201"/>
      <c r="G58" s="202"/>
      <c r="I58" s="109" t="str">
        <f t="shared" si="3"/>
        <v/>
      </c>
      <c r="J58" s="22" t="str">
        <f t="shared" si="2"/>
        <v/>
      </c>
    </row>
    <row r="59" spans="1:10" ht="15" customHeight="1" x14ac:dyDescent="0.2">
      <c r="A59" s="56" t="s">
        <v>76</v>
      </c>
      <c r="B59" s="34"/>
      <c r="C59" s="34"/>
      <c r="D59" s="35"/>
      <c r="E59" s="213">
        <v>2500</v>
      </c>
      <c r="F59" s="201"/>
      <c r="G59" s="202"/>
      <c r="I59" s="109">
        <f t="shared" si="3"/>
        <v>0</v>
      </c>
      <c r="J59" s="22" t="str">
        <f t="shared" si="2"/>
        <v/>
      </c>
    </row>
    <row r="60" spans="1:10" ht="15" customHeight="1" x14ac:dyDescent="0.2">
      <c r="A60" s="44"/>
      <c r="B60" s="34"/>
      <c r="C60" s="34"/>
      <c r="D60" s="35"/>
      <c r="E60" s="212"/>
      <c r="F60" s="201"/>
      <c r="G60" s="202"/>
      <c r="I60" s="109" t="str">
        <f t="shared" si="3"/>
        <v/>
      </c>
      <c r="J60" s="22" t="str">
        <f t="shared" si="2"/>
        <v/>
      </c>
    </row>
    <row r="61" spans="1:10" ht="15" customHeight="1" x14ac:dyDescent="0.2">
      <c r="A61" s="57" t="s">
        <v>77</v>
      </c>
      <c r="B61" s="58"/>
      <c r="C61" s="184"/>
      <c r="D61" s="164"/>
      <c r="E61" s="214">
        <f>E10</f>
        <v>25350</v>
      </c>
      <c r="F61" s="214">
        <f>F10</f>
        <v>39509.880000000005</v>
      </c>
      <c r="G61" s="202"/>
      <c r="I61" s="109"/>
      <c r="J61" s="22" t="str">
        <f t="shared" si="2"/>
        <v/>
      </c>
    </row>
    <row r="62" spans="1:10" ht="85" x14ac:dyDescent="0.2">
      <c r="A62" s="59" t="s">
        <v>78</v>
      </c>
      <c r="B62" s="58"/>
      <c r="C62" s="184"/>
      <c r="D62" s="164"/>
      <c r="E62" s="215">
        <f>E51+E57+E59</f>
        <v>31144.39</v>
      </c>
      <c r="F62" s="215">
        <f>F51+F57+F59</f>
        <v>30202.039999999997</v>
      </c>
      <c r="G62" s="216">
        <f>E62-F62</f>
        <v>942.35000000000218</v>
      </c>
      <c r="I62" s="109">
        <f>IFERROR(F62/E62,"")</f>
        <v>0.96974254432339169</v>
      </c>
      <c r="J62" s="22" t="str">
        <f t="shared" si="2"/>
        <v/>
      </c>
    </row>
    <row r="63" spans="1:10" s="62" customFormat="1" ht="39" thickBot="1" x14ac:dyDescent="0.25">
      <c r="A63" s="60" t="s">
        <v>79</v>
      </c>
      <c r="B63" s="61"/>
      <c r="C63" s="185"/>
      <c r="D63" s="165"/>
      <c r="E63" s="217">
        <f>E61-E62</f>
        <v>-5794.3899999999994</v>
      </c>
      <c r="F63" s="99"/>
      <c r="G63" s="128"/>
      <c r="I63" s="110"/>
    </row>
    <row r="64" spans="1:10" ht="15" thickBot="1" x14ac:dyDescent="0.25">
      <c r="D64" s="64"/>
      <c r="E64" s="64"/>
      <c r="F64" s="170"/>
      <c r="G64" s="171"/>
    </row>
    <row r="65" spans="1:9" s="67" customFormat="1" ht="16" thickBot="1" x14ac:dyDescent="0.25">
      <c r="A65" s="65" t="s">
        <v>80</v>
      </c>
      <c r="B65" s="66"/>
      <c r="C65" s="172"/>
      <c r="D65" s="172"/>
      <c r="E65" s="173">
        <f>E5/429.6</f>
        <v>58.193668528864059</v>
      </c>
      <c r="F65" s="168"/>
      <c r="G65" s="169"/>
      <c r="I65" s="111"/>
    </row>
    <row r="66" spans="1:9" s="67" customFormat="1" ht="15" x14ac:dyDescent="0.2">
      <c r="D66" s="120"/>
      <c r="F66" s="70"/>
      <c r="G66" s="129"/>
      <c r="I66" s="111"/>
    </row>
    <row r="67" spans="1:9" s="67" customFormat="1" ht="15" x14ac:dyDescent="0.2">
      <c r="A67" s="67" t="s">
        <v>81</v>
      </c>
      <c r="B67" s="72"/>
      <c r="C67" s="72"/>
      <c r="D67" s="120"/>
      <c r="E67" s="67" t="s">
        <v>82</v>
      </c>
      <c r="F67" s="70">
        <f>Activity!P20</f>
        <v>13953.849999999999</v>
      </c>
      <c r="G67" s="129"/>
      <c r="I67" s="111"/>
    </row>
    <row r="68" spans="1:9" s="67" customFormat="1" ht="15" x14ac:dyDescent="0.2">
      <c r="B68" s="72"/>
      <c r="C68" s="72"/>
      <c r="D68" s="120"/>
      <c r="E68" s="67" t="s">
        <v>111</v>
      </c>
      <c r="F68" s="166">
        <f>-Activity!L189</f>
        <v>-4044.5099999999998</v>
      </c>
      <c r="G68" s="129"/>
      <c r="I68" s="111"/>
    </row>
    <row r="69" spans="1:9" s="67" customFormat="1" ht="15" x14ac:dyDescent="0.2">
      <c r="B69" s="72"/>
      <c r="C69" s="72"/>
      <c r="D69" s="120"/>
      <c r="F69" s="70"/>
      <c r="G69" s="129"/>
      <c r="H69" s="84"/>
      <c r="I69" s="112"/>
    </row>
    <row r="70" spans="1:9" s="67" customFormat="1" ht="17.75" customHeight="1" x14ac:dyDescent="0.2">
      <c r="B70" s="72"/>
      <c r="C70" s="72"/>
      <c r="D70" s="120"/>
      <c r="E70" s="67" t="s">
        <v>112</v>
      </c>
      <c r="F70" s="100">
        <f>F67+F10-F51-F57+F68</f>
        <v>19217.180000000004</v>
      </c>
      <c r="G70" s="129" t="s">
        <v>83</v>
      </c>
      <c r="H70" s="195" t="s">
        <v>646</v>
      </c>
      <c r="I70" s="112"/>
    </row>
    <row r="71" spans="1:9" s="67" customFormat="1" ht="15" x14ac:dyDescent="0.2">
      <c r="B71" s="72"/>
      <c r="C71" s="72"/>
      <c r="D71" s="120"/>
      <c r="F71" s="261">
        <f>F70+H72+H73</f>
        <v>30524.170000000006</v>
      </c>
      <c r="G71" s="129"/>
      <c r="H71" s="193" t="s">
        <v>647</v>
      </c>
      <c r="I71" s="111"/>
    </row>
    <row r="72" spans="1:9" ht="15" x14ac:dyDescent="0.2">
      <c r="A72" s="73"/>
      <c r="B72" s="72"/>
      <c r="C72" s="72"/>
      <c r="H72" s="193">
        <f>+Activity!H182</f>
        <v>12500</v>
      </c>
    </row>
    <row r="73" spans="1:9" ht="15" x14ac:dyDescent="0.2">
      <c r="A73" s="73"/>
      <c r="B73" s="72"/>
      <c r="C73" s="72"/>
      <c r="H73" s="193">
        <f>-Activity!M177-Activity!M178-Activity!M179-Activity!M180-Activity!M181-Activity!M183</f>
        <v>-1193.0099999999998</v>
      </c>
    </row>
    <row r="74" spans="1:9" ht="15" x14ac:dyDescent="0.2">
      <c r="H74" s="193"/>
    </row>
    <row r="75" spans="1:9" ht="50" customHeight="1" x14ac:dyDescent="0.2">
      <c r="A75" s="398" t="s">
        <v>431</v>
      </c>
      <c r="B75" s="398"/>
      <c r="C75" s="398"/>
      <c r="D75" s="398"/>
      <c r="E75" s="130"/>
      <c r="F75" s="130"/>
      <c r="H75" s="194"/>
    </row>
  </sheetData>
  <sheetProtection selectLockedCells="1" selectUnlockedCells="1"/>
  <sortState xmlns:xlrd2="http://schemas.microsoft.com/office/spreadsheetml/2017/richdata2" ref="A13:H49">
    <sortCondition ref="B13:B49"/>
  </sortState>
  <mergeCells count="1">
    <mergeCell ref="A75:D75"/>
  </mergeCells>
  <phoneticPr fontId="23" type="noConversion"/>
  <conditionalFormatting sqref="J13:J62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90C49-A900-A745-9853-BB64906259C8}">
  <dimension ref="A1:D18"/>
  <sheetViews>
    <sheetView zoomScale="140" zoomScaleNormal="140" workbookViewId="0">
      <selection activeCell="F14" sqref="F14"/>
    </sheetView>
  </sheetViews>
  <sheetFormatPr baseColWidth="10" defaultRowHeight="15" x14ac:dyDescent="0.2"/>
  <cols>
    <col min="2" max="2" width="27.1640625" customWidth="1"/>
    <col min="3" max="3" width="4.6640625" customWidth="1"/>
  </cols>
  <sheetData>
    <row r="1" spans="1:4" x14ac:dyDescent="0.2">
      <c r="A1" s="309" t="s">
        <v>699</v>
      </c>
    </row>
    <row r="3" spans="1:4" x14ac:dyDescent="0.2">
      <c r="A3" s="360" t="s">
        <v>662</v>
      </c>
      <c r="B3" s="360" t="s">
        <v>728</v>
      </c>
      <c r="C3" s="361"/>
      <c r="D3" s="357">
        <f>'AGAR CheckCalcs'!D192</f>
        <v>19310.079999999994</v>
      </c>
    </row>
    <row r="4" spans="1:4" x14ac:dyDescent="0.2">
      <c r="C4" s="361"/>
      <c r="D4" s="357"/>
    </row>
    <row r="5" spans="1:4" x14ac:dyDescent="0.2">
      <c r="B5" s="360" t="s">
        <v>664</v>
      </c>
      <c r="C5" s="361"/>
      <c r="D5" s="357"/>
    </row>
    <row r="6" spans="1:4" x14ac:dyDescent="0.2">
      <c r="B6" t="s">
        <v>727</v>
      </c>
      <c r="C6" s="361"/>
      <c r="D6" s="357">
        <v>0</v>
      </c>
    </row>
    <row r="7" spans="1:4" x14ac:dyDescent="0.2">
      <c r="C7" s="361"/>
      <c r="D7" s="357"/>
    </row>
    <row r="8" spans="1:4" x14ac:dyDescent="0.2">
      <c r="C8" s="361"/>
      <c r="D8" s="357"/>
    </row>
    <row r="9" spans="1:4" x14ac:dyDescent="0.2">
      <c r="B9" s="360" t="s">
        <v>665</v>
      </c>
      <c r="C9" s="361"/>
      <c r="D9" s="357"/>
    </row>
    <row r="10" spans="1:4" x14ac:dyDescent="0.2">
      <c r="B10" t="s">
        <v>668</v>
      </c>
      <c r="C10" s="361"/>
      <c r="D10" s="362">
        <f>'AGAR CheckCalcs'!C199</f>
        <v>471.04999999999995</v>
      </c>
    </row>
    <row r="11" spans="1:4" x14ac:dyDescent="0.2">
      <c r="B11" t="s">
        <v>669</v>
      </c>
      <c r="C11" s="361"/>
      <c r="D11" s="362">
        <f>'AGAR CheckCalcs'!C200</f>
        <v>15.5</v>
      </c>
    </row>
    <row r="12" spans="1:4" x14ac:dyDescent="0.2">
      <c r="B12" s="76" t="s">
        <v>306</v>
      </c>
      <c r="D12" s="362">
        <f>'AGAR CheckCalcs'!C201</f>
        <v>300</v>
      </c>
    </row>
    <row r="13" spans="1:4" x14ac:dyDescent="0.2">
      <c r="C13" s="361"/>
      <c r="D13" s="357"/>
    </row>
    <row r="14" spans="1:4" ht="16" thickBot="1" x14ac:dyDescent="0.25">
      <c r="B14" t="s">
        <v>726</v>
      </c>
      <c r="D14" s="359">
        <f>SUM(D3:D12)</f>
        <v>20096.629999999994</v>
      </c>
    </row>
    <row r="15" spans="1:4" x14ac:dyDescent="0.2">
      <c r="D15" s="357"/>
    </row>
    <row r="16" spans="1:4" ht="16" thickBot="1" x14ac:dyDescent="0.25">
      <c r="A16" s="360" t="s">
        <v>666</v>
      </c>
      <c r="B16" t="s">
        <v>725</v>
      </c>
      <c r="D16" s="359">
        <f>'Bank Rec'!D11</f>
        <v>20096.63</v>
      </c>
    </row>
    <row r="17" spans="3:4" x14ac:dyDescent="0.2">
      <c r="D17" s="357"/>
    </row>
    <row r="18" spans="3:4" x14ac:dyDescent="0.2">
      <c r="C18" s="358" t="s">
        <v>724</v>
      </c>
      <c r="D18" s="357">
        <f>D16-D14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239B2-827A-5044-9313-D910167672D3}">
  <dimension ref="A1:H9"/>
  <sheetViews>
    <sheetView zoomScale="140" zoomScaleNormal="140" workbookViewId="0">
      <selection activeCell="K21" sqref="K21"/>
    </sheetView>
  </sheetViews>
  <sheetFormatPr baseColWidth="10" defaultRowHeight="15" x14ac:dyDescent="0.2"/>
  <cols>
    <col min="2" max="2" width="13.33203125" customWidth="1"/>
    <col min="5" max="5" width="9.6640625" customWidth="1"/>
    <col min="6" max="6" width="33.6640625" customWidth="1"/>
  </cols>
  <sheetData>
    <row r="1" spans="1:8" x14ac:dyDescent="0.2">
      <c r="A1" s="309" t="s">
        <v>699</v>
      </c>
      <c r="B1" s="296"/>
      <c r="C1" s="296"/>
      <c r="D1" s="304"/>
      <c r="E1" s="304"/>
      <c r="F1" s="296"/>
    </row>
    <row r="2" spans="1:8" x14ac:dyDescent="0.2">
      <c r="A2" s="309"/>
      <c r="B2" s="296"/>
      <c r="C2" s="296"/>
      <c r="D2" s="304"/>
      <c r="E2" s="304"/>
      <c r="F2" s="296"/>
    </row>
    <row r="3" spans="1:8" x14ac:dyDescent="0.2">
      <c r="A3" s="315" t="s">
        <v>674</v>
      </c>
      <c r="B3" s="316" t="s">
        <v>673</v>
      </c>
      <c r="D3" s="315"/>
      <c r="E3" s="315"/>
      <c r="F3" s="369"/>
    </row>
    <row r="4" spans="1:8" x14ac:dyDescent="0.2">
      <c r="A4" s="296"/>
      <c r="B4" s="296"/>
      <c r="F4" s="324"/>
    </row>
    <row r="5" spans="1:8" x14ac:dyDescent="0.2">
      <c r="A5" s="303"/>
      <c r="B5" s="303"/>
      <c r="C5" s="325" t="s">
        <v>696</v>
      </c>
      <c r="D5" s="325" t="s">
        <v>741</v>
      </c>
      <c r="E5" s="368" t="s">
        <v>701</v>
      </c>
      <c r="F5" s="367" t="s">
        <v>712</v>
      </c>
    </row>
    <row r="6" spans="1:8" ht="48" customHeight="1" x14ac:dyDescent="0.2">
      <c r="A6" s="296"/>
      <c r="B6" s="366"/>
      <c r="C6" s="365">
        <v>45196</v>
      </c>
      <c r="D6" s="365">
        <v>55183</v>
      </c>
      <c r="E6" s="365">
        <f>-(C6-D6)</f>
        <v>9987</v>
      </c>
      <c r="F6" s="297" t="s">
        <v>761</v>
      </c>
    </row>
    <row r="7" spans="1:8" x14ac:dyDescent="0.2">
      <c r="A7" s="296"/>
      <c r="B7" s="296"/>
      <c r="C7" s="364">
        <f>SUM(C6:C6)</f>
        <v>45196</v>
      </c>
      <c r="D7" s="364">
        <f>SUM(D6:D6)</f>
        <v>55183</v>
      </c>
      <c r="E7" s="363">
        <f>-(C7-D7)</f>
        <v>9987</v>
      </c>
      <c r="F7" s="294"/>
    </row>
    <row r="9" spans="1:8" x14ac:dyDescent="0.2">
      <c r="H9" t="s">
        <v>729</v>
      </c>
    </row>
  </sheetData>
  <phoneticPr fontId="2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6F675-7378-FB43-8384-F83966B3162D}">
  <sheetPr>
    <tabColor theme="5" tint="0.39997558519241921"/>
    <pageSetUpPr fitToPage="1"/>
  </sheetPr>
  <dimension ref="B2:J40"/>
  <sheetViews>
    <sheetView topLeftCell="B2" zoomScale="130" zoomScaleNormal="130" workbookViewId="0">
      <selection activeCell="E32" sqref="E32"/>
    </sheetView>
  </sheetViews>
  <sheetFormatPr baseColWidth="10" defaultRowHeight="15" x14ac:dyDescent="0.2"/>
  <cols>
    <col min="1" max="1" width="6.1640625" style="76" customWidth="1"/>
    <col min="2" max="2" width="65.6640625" style="76" customWidth="1"/>
    <col min="3" max="4" width="12.5" style="90" customWidth="1"/>
    <col min="5" max="5" width="13" style="76" customWidth="1"/>
    <col min="6" max="6" width="14.5" style="76" customWidth="1"/>
    <col min="7" max="7" width="3.1640625" style="76" customWidth="1"/>
    <col min="8" max="8" width="65.33203125" style="89" customWidth="1"/>
    <col min="9" max="10" width="10.83203125" style="370"/>
    <col min="11" max="16384" width="10.83203125" style="76"/>
  </cols>
  <sheetData>
    <row r="2" spans="2:7" ht="18" x14ac:dyDescent="0.2">
      <c r="B2" s="390" t="s">
        <v>740</v>
      </c>
      <c r="C2" s="389"/>
      <c r="D2" s="389"/>
      <c r="E2" s="388"/>
      <c r="F2" s="388"/>
      <c r="G2" s="388"/>
    </row>
    <row r="3" spans="2:7" x14ac:dyDescent="0.2">
      <c r="B3" s="388"/>
      <c r="C3" s="389"/>
      <c r="D3" s="389"/>
      <c r="E3" s="388"/>
      <c r="F3" s="388"/>
      <c r="G3" s="388"/>
    </row>
    <row r="4" spans="2:7" ht="20" customHeight="1" x14ac:dyDescent="0.2">
      <c r="B4" s="373" t="s">
        <v>739</v>
      </c>
      <c r="C4" s="376"/>
      <c r="D4" s="376"/>
      <c r="E4" s="373"/>
      <c r="F4" s="373"/>
      <c r="G4" s="373"/>
    </row>
    <row r="5" spans="2:7" ht="20" customHeight="1" x14ac:dyDescent="0.2">
      <c r="B5" s="373"/>
      <c r="C5" s="376"/>
      <c r="D5" s="376"/>
      <c r="E5" s="373"/>
      <c r="F5" s="373"/>
      <c r="G5" s="373"/>
    </row>
    <row r="6" spans="2:7" ht="20" customHeight="1" x14ac:dyDescent="0.2">
      <c r="B6" s="373" t="s">
        <v>742</v>
      </c>
      <c r="C6" s="376"/>
      <c r="D6" s="376"/>
      <c r="E6" s="373"/>
      <c r="F6" s="373"/>
      <c r="G6" s="373"/>
    </row>
    <row r="7" spans="2:7" ht="20" customHeight="1" x14ac:dyDescent="0.2">
      <c r="B7" s="373"/>
      <c r="C7" s="376"/>
      <c r="D7" s="376"/>
      <c r="E7" s="373"/>
      <c r="F7" s="373"/>
      <c r="G7" s="373"/>
    </row>
    <row r="8" spans="2:7" ht="20" customHeight="1" x14ac:dyDescent="0.2">
      <c r="B8" s="373" t="s">
        <v>743</v>
      </c>
      <c r="C8" s="376"/>
      <c r="D8" s="376"/>
      <c r="E8" s="373"/>
      <c r="F8" s="373"/>
      <c r="G8" s="373"/>
    </row>
    <row r="9" spans="2:7" ht="20" customHeight="1" x14ac:dyDescent="0.2">
      <c r="B9" s="373"/>
      <c r="C9" s="376"/>
      <c r="D9" s="376"/>
      <c r="E9" s="373"/>
      <c r="F9" s="373"/>
      <c r="G9" s="373"/>
    </row>
    <row r="10" spans="2:7" ht="20" customHeight="1" x14ac:dyDescent="0.2">
      <c r="B10" s="383" t="s">
        <v>744</v>
      </c>
      <c r="C10" s="382"/>
      <c r="D10" s="382"/>
      <c r="E10" s="373"/>
      <c r="F10" s="373"/>
      <c r="G10" s="373"/>
    </row>
    <row r="11" spans="2:7" ht="20" customHeight="1" x14ac:dyDescent="0.2">
      <c r="B11" s="383" t="s">
        <v>738</v>
      </c>
      <c r="C11" s="382"/>
      <c r="D11" s="380">
        <v>20096.63</v>
      </c>
      <c r="E11" s="373"/>
      <c r="F11" s="373"/>
      <c r="G11" s="373"/>
    </row>
    <row r="12" spans="2:7" ht="20" customHeight="1" x14ac:dyDescent="0.2">
      <c r="B12" s="383"/>
      <c r="C12" s="382"/>
      <c r="D12" s="382"/>
      <c r="E12" s="373"/>
      <c r="F12" s="373"/>
      <c r="G12" s="373"/>
    </row>
    <row r="13" spans="2:7" ht="20" customHeight="1" x14ac:dyDescent="0.2">
      <c r="B13" s="383" t="s">
        <v>745</v>
      </c>
      <c r="C13" s="382"/>
      <c r="D13" s="382">
        <v>0</v>
      </c>
      <c r="E13" s="373"/>
      <c r="F13" s="373"/>
      <c r="G13" s="373"/>
    </row>
    <row r="14" spans="2:7" ht="20" customHeight="1" x14ac:dyDescent="0.2">
      <c r="B14" s="71"/>
      <c r="C14" s="382"/>
      <c r="D14" s="382"/>
      <c r="E14" s="373"/>
      <c r="F14" s="373"/>
      <c r="G14" s="373"/>
    </row>
    <row r="15" spans="2:7" ht="20" customHeight="1" x14ac:dyDescent="0.2">
      <c r="B15" s="383" t="s">
        <v>746</v>
      </c>
      <c r="C15" s="382"/>
      <c r="D15" s="382">
        <f>SUM(C14:C15)</f>
        <v>0</v>
      </c>
      <c r="E15" s="373"/>
      <c r="F15" s="373"/>
      <c r="G15" s="373"/>
    </row>
    <row r="16" spans="2:7" ht="20" customHeight="1" x14ac:dyDescent="0.2">
      <c r="B16" s="387"/>
      <c r="C16" s="382"/>
      <c r="D16" s="386"/>
      <c r="E16" s="373"/>
      <c r="F16" s="373"/>
      <c r="G16" s="373"/>
    </row>
    <row r="17" spans="2:7" ht="20" customHeight="1" thickBot="1" x14ac:dyDescent="0.25">
      <c r="B17" s="381" t="s">
        <v>748</v>
      </c>
      <c r="C17" s="380"/>
      <c r="D17" s="379">
        <f>SUM(D11:D16)</f>
        <v>20096.63</v>
      </c>
      <c r="E17" s="373"/>
      <c r="F17" s="373"/>
      <c r="G17" s="373"/>
    </row>
    <row r="18" spans="2:7" ht="20" customHeight="1" thickTop="1" x14ac:dyDescent="0.2">
      <c r="B18" s="383"/>
      <c r="C18" s="382"/>
      <c r="D18" s="385"/>
      <c r="E18" s="373"/>
      <c r="F18" s="373"/>
      <c r="G18" s="373"/>
    </row>
    <row r="19" spans="2:7" ht="34" customHeight="1" x14ac:dyDescent="0.2">
      <c r="B19" s="384" t="s">
        <v>737</v>
      </c>
      <c r="C19" s="382"/>
      <c r="D19" s="382"/>
      <c r="E19" s="373"/>
      <c r="F19" s="373"/>
      <c r="G19" s="373"/>
    </row>
    <row r="20" spans="2:7" ht="20" customHeight="1" x14ac:dyDescent="0.2">
      <c r="B20" s="383" t="s">
        <v>736</v>
      </c>
      <c r="C20" s="382"/>
      <c r="D20" s="382"/>
      <c r="E20" s="373"/>
      <c r="F20" s="373"/>
      <c r="G20" s="373"/>
    </row>
    <row r="21" spans="2:7" ht="20" customHeight="1" x14ac:dyDescent="0.2">
      <c r="B21" s="383" t="s">
        <v>747</v>
      </c>
      <c r="C21" s="382"/>
      <c r="D21" s="382">
        <v>15762.72</v>
      </c>
      <c r="E21" s="373"/>
      <c r="F21" s="373"/>
      <c r="G21" s="373"/>
    </row>
    <row r="22" spans="2:7" ht="20" customHeight="1" x14ac:dyDescent="0.2">
      <c r="B22" s="383" t="s">
        <v>735</v>
      </c>
      <c r="C22" s="382"/>
      <c r="D22" s="382">
        <f>-E39</f>
        <v>-36487.730000000003</v>
      </c>
      <c r="E22" s="373"/>
      <c r="F22" s="373"/>
      <c r="G22" s="373"/>
    </row>
    <row r="23" spans="2:7" ht="20" customHeight="1" x14ac:dyDescent="0.2">
      <c r="B23" s="383" t="s">
        <v>734</v>
      </c>
      <c r="C23" s="382"/>
      <c r="D23" s="382">
        <f>D39</f>
        <v>40821.640000000007</v>
      </c>
      <c r="E23" s="373"/>
      <c r="F23" s="373"/>
      <c r="G23" s="373"/>
    </row>
    <row r="24" spans="2:7" s="91" customFormat="1" ht="20" customHeight="1" thickBot="1" x14ac:dyDescent="0.25">
      <c r="B24" s="381" t="s">
        <v>733</v>
      </c>
      <c r="C24" s="380"/>
      <c r="D24" s="379">
        <f>SUM(D21:D23)</f>
        <v>20096.630000000005</v>
      </c>
      <c r="E24" s="378"/>
      <c r="F24" s="378"/>
      <c r="G24" s="378"/>
    </row>
    <row r="25" spans="2:7" ht="17" thickTop="1" x14ac:dyDescent="0.2">
      <c r="B25" s="373"/>
      <c r="C25" s="376"/>
      <c r="D25" s="376"/>
      <c r="E25" s="373"/>
      <c r="F25" s="373"/>
      <c r="G25" s="373"/>
    </row>
    <row r="26" spans="2:7" ht="16" x14ac:dyDescent="0.2">
      <c r="B26" s="373"/>
      <c r="C26" s="373" t="s">
        <v>732</v>
      </c>
      <c r="D26" s="89" t="s">
        <v>731</v>
      </c>
      <c r="E26" s="89" t="s">
        <v>730</v>
      </c>
      <c r="F26" s="89"/>
    </row>
    <row r="27" spans="2:7" ht="16" x14ac:dyDescent="0.2">
      <c r="B27" s="373"/>
      <c r="C27" s="377">
        <v>45017</v>
      </c>
      <c r="D27" s="376">
        <v>13817.96</v>
      </c>
      <c r="E27" s="376">
        <v>3198.48</v>
      </c>
      <c r="F27" s="371"/>
    </row>
    <row r="28" spans="2:7" ht="16" x14ac:dyDescent="0.2">
      <c r="B28" s="373"/>
      <c r="C28" s="377">
        <v>45047</v>
      </c>
      <c r="D28" s="376">
        <v>743.4</v>
      </c>
      <c r="E28" s="376">
        <v>2118.06</v>
      </c>
      <c r="F28" s="371"/>
    </row>
    <row r="29" spans="2:7" ht="16" x14ac:dyDescent="0.2">
      <c r="B29" s="373"/>
      <c r="C29" s="377">
        <v>45078</v>
      </c>
      <c r="D29" s="376">
        <v>0</v>
      </c>
      <c r="E29" s="376">
        <v>1428.33</v>
      </c>
      <c r="F29" s="371"/>
    </row>
    <row r="30" spans="2:7" ht="16" x14ac:dyDescent="0.2">
      <c r="B30" s="373"/>
      <c r="C30" s="377">
        <v>45108</v>
      </c>
      <c r="D30" s="376">
        <v>0</v>
      </c>
      <c r="E30" s="376">
        <v>2147.5300000000002</v>
      </c>
      <c r="F30" s="371"/>
    </row>
    <row r="31" spans="2:7" ht="16" x14ac:dyDescent="0.2">
      <c r="B31" s="373"/>
      <c r="C31" s="377">
        <v>45139</v>
      </c>
      <c r="D31" s="376">
        <v>0</v>
      </c>
      <c r="E31" s="376">
        <v>957.52</v>
      </c>
      <c r="F31" s="371"/>
    </row>
    <row r="32" spans="2:7" ht="16" x14ac:dyDescent="0.2">
      <c r="B32" s="373"/>
      <c r="C32" s="377">
        <v>45170</v>
      </c>
      <c r="D32" s="376">
        <v>12648.75</v>
      </c>
      <c r="E32" s="376">
        <v>2634.47</v>
      </c>
      <c r="F32" s="371"/>
    </row>
    <row r="33" spans="2:6" ht="16" x14ac:dyDescent="0.2">
      <c r="B33" s="373"/>
      <c r="C33" s="377">
        <v>45200</v>
      </c>
      <c r="D33" s="376">
        <v>9201.25</v>
      </c>
      <c r="E33" s="376">
        <v>16829.849999999999</v>
      </c>
      <c r="F33" s="371"/>
    </row>
    <row r="34" spans="2:6" ht="16" x14ac:dyDescent="0.2">
      <c r="B34" s="373"/>
      <c r="C34" s="377">
        <v>45231</v>
      </c>
      <c r="D34" s="376">
        <v>50.71</v>
      </c>
      <c r="E34" s="376">
        <v>1484.3</v>
      </c>
      <c r="F34" s="371"/>
    </row>
    <row r="35" spans="2:6" ht="16" x14ac:dyDescent="0.2">
      <c r="B35" s="373"/>
      <c r="C35" s="377">
        <v>45261</v>
      </c>
      <c r="D35" s="376">
        <v>74.22</v>
      </c>
      <c r="E35" s="376">
        <v>1496.2</v>
      </c>
      <c r="F35" s="371"/>
    </row>
    <row r="36" spans="2:6" ht="16" x14ac:dyDescent="0.2">
      <c r="B36" s="373"/>
      <c r="C36" s="377">
        <v>45292</v>
      </c>
      <c r="D36" s="376">
        <v>48.8</v>
      </c>
      <c r="E36" s="376">
        <v>833.98</v>
      </c>
      <c r="F36" s="371"/>
    </row>
    <row r="37" spans="2:6" ht="16" x14ac:dyDescent="0.2">
      <c r="B37" s="373"/>
      <c r="C37" s="377">
        <v>45323</v>
      </c>
      <c r="D37" s="376">
        <v>0</v>
      </c>
      <c r="E37" s="376">
        <v>2390.73</v>
      </c>
      <c r="F37" s="371"/>
    </row>
    <row r="38" spans="2:6" ht="16" x14ac:dyDescent="0.2">
      <c r="B38" s="373"/>
      <c r="C38" s="377">
        <v>45352</v>
      </c>
      <c r="D38" s="376">
        <v>4236.55</v>
      </c>
      <c r="E38" s="376">
        <v>968.28</v>
      </c>
      <c r="F38" s="371"/>
    </row>
    <row r="39" spans="2:6" ht="17" thickBot="1" x14ac:dyDescent="0.25">
      <c r="B39" s="373"/>
      <c r="C39" s="373"/>
      <c r="D39" s="375">
        <f>SUM(D27:D38)</f>
        <v>40821.640000000007</v>
      </c>
      <c r="E39" s="375">
        <f>SUM(E27:E38)</f>
        <v>36487.730000000003</v>
      </c>
      <c r="F39" s="374">
        <f>D39-E39</f>
        <v>4333.9100000000035</v>
      </c>
    </row>
    <row r="40" spans="2:6" ht="17" thickBot="1" x14ac:dyDescent="0.25">
      <c r="B40" s="373"/>
      <c r="C40" s="373"/>
      <c r="D40" s="372"/>
      <c r="E40" s="372"/>
      <c r="F40" s="371"/>
    </row>
  </sheetData>
  <pageMargins left="0.7" right="0.7" top="0.75" bottom="0.75" header="0.3" footer="0.3"/>
  <pageSetup paperSize="9" scale="90" fitToHeight="0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20"/>
  <sheetViews>
    <sheetView topLeftCell="A206" zoomScale="140" zoomScaleNormal="140" zoomScalePageLayoutView="140" workbookViewId="0">
      <selection activeCell="C216" sqref="C216:C219"/>
    </sheetView>
  </sheetViews>
  <sheetFormatPr baseColWidth="10" defaultRowHeight="15" x14ac:dyDescent="0.2"/>
  <cols>
    <col min="1" max="1" width="13.33203125" style="75" customWidth="1"/>
    <col min="2" max="2" width="31.1640625" style="76" customWidth="1"/>
    <col min="3" max="3" width="40.5" style="76" customWidth="1"/>
    <col min="4" max="4" width="16.33203125" style="76" customWidth="1"/>
    <col min="5" max="5" width="10.83203125" style="76"/>
    <col min="6" max="7" width="10.83203125" style="89"/>
    <col min="8" max="8" width="14" style="76" customWidth="1"/>
    <col min="9" max="16384" width="10.83203125" style="76"/>
  </cols>
  <sheetData>
    <row r="2" spans="2:8" x14ac:dyDescent="0.2">
      <c r="B2" s="91" t="s">
        <v>131</v>
      </c>
      <c r="E2" s="75"/>
    </row>
    <row r="3" spans="2:8" ht="48" x14ac:dyDescent="0.2">
      <c r="B3" s="85" t="s">
        <v>109</v>
      </c>
      <c r="C3" s="85" t="s">
        <v>115</v>
      </c>
      <c r="D3" s="85" t="s">
        <v>90</v>
      </c>
      <c r="E3" s="132" t="s">
        <v>119</v>
      </c>
      <c r="F3" s="86" t="s">
        <v>120</v>
      </c>
      <c r="G3" s="86" t="s">
        <v>116</v>
      </c>
      <c r="H3" s="85" t="s">
        <v>117</v>
      </c>
    </row>
    <row r="4" spans="2:8" x14ac:dyDescent="0.2">
      <c r="B4" s="101" t="s">
        <v>103</v>
      </c>
      <c r="C4" s="101" t="s">
        <v>134</v>
      </c>
      <c r="D4" s="101">
        <v>820490</v>
      </c>
      <c r="E4" s="121">
        <v>43869</v>
      </c>
      <c r="F4" s="131">
        <v>15</v>
      </c>
      <c r="G4" s="131">
        <v>2.5</v>
      </c>
      <c r="H4" s="101">
        <v>2508720112</v>
      </c>
    </row>
    <row r="5" spans="2:8" x14ac:dyDescent="0.2">
      <c r="B5" s="101" t="s">
        <v>103</v>
      </c>
      <c r="C5" s="101" t="s">
        <v>135</v>
      </c>
      <c r="D5" s="101">
        <v>52117</v>
      </c>
      <c r="E5" s="121">
        <v>43871</v>
      </c>
      <c r="F5" s="131">
        <v>34.270000000000003</v>
      </c>
      <c r="G5" s="131">
        <v>5.71</v>
      </c>
      <c r="H5" s="101">
        <v>194101875</v>
      </c>
    </row>
    <row r="6" spans="2:8" x14ac:dyDescent="0.2">
      <c r="B6" s="101" t="s">
        <v>103</v>
      </c>
      <c r="C6" s="101" t="s">
        <v>135</v>
      </c>
      <c r="D6" s="101">
        <v>52127</v>
      </c>
      <c r="E6" s="121">
        <v>43873</v>
      </c>
      <c r="F6" s="131">
        <v>17.84</v>
      </c>
      <c r="G6" s="131">
        <v>2.97</v>
      </c>
      <c r="H6" s="101">
        <v>194101875</v>
      </c>
    </row>
    <row r="7" spans="2:8" x14ac:dyDescent="0.2">
      <c r="B7" s="101" t="s">
        <v>121</v>
      </c>
      <c r="C7" s="101" t="s">
        <v>122</v>
      </c>
      <c r="D7" s="101">
        <v>50038</v>
      </c>
      <c r="E7" s="121">
        <v>43884</v>
      </c>
      <c r="F7" s="131">
        <v>84</v>
      </c>
      <c r="G7" s="131">
        <v>14</v>
      </c>
      <c r="H7" s="101" t="s">
        <v>132</v>
      </c>
    </row>
    <row r="8" spans="2:8" x14ac:dyDescent="0.2">
      <c r="B8" s="101" t="s">
        <v>125</v>
      </c>
      <c r="C8" s="101" t="s">
        <v>124</v>
      </c>
      <c r="D8" s="101" t="s">
        <v>128</v>
      </c>
      <c r="E8" s="121">
        <v>43889</v>
      </c>
      <c r="F8" s="131">
        <v>200</v>
      </c>
      <c r="G8" s="131">
        <v>33.33</v>
      </c>
      <c r="H8" s="101" t="s">
        <v>133</v>
      </c>
    </row>
    <row r="9" spans="2:8" x14ac:dyDescent="0.2">
      <c r="B9" s="101" t="s">
        <v>125</v>
      </c>
      <c r="C9" s="101" t="s">
        <v>126</v>
      </c>
      <c r="D9" s="101">
        <v>53185</v>
      </c>
      <c r="E9" s="121">
        <v>43900</v>
      </c>
      <c r="F9" s="131">
        <v>27.99</v>
      </c>
      <c r="G9" s="131">
        <v>4.66</v>
      </c>
      <c r="H9" s="101">
        <v>755163721</v>
      </c>
    </row>
    <row r="10" spans="2:8" x14ac:dyDescent="0.2">
      <c r="B10" s="101" t="s">
        <v>31</v>
      </c>
      <c r="C10" s="101" t="s">
        <v>129</v>
      </c>
      <c r="D10" s="101">
        <v>14114</v>
      </c>
      <c r="E10" s="121">
        <v>43901</v>
      </c>
      <c r="F10" s="131">
        <v>84</v>
      </c>
      <c r="G10" s="131">
        <v>14</v>
      </c>
      <c r="H10" s="101">
        <v>167413406</v>
      </c>
    </row>
    <row r="11" spans="2:8" x14ac:dyDescent="0.2">
      <c r="B11" s="101" t="s">
        <v>101</v>
      </c>
      <c r="C11" s="101" t="s">
        <v>130</v>
      </c>
      <c r="D11" s="101">
        <v>602239032</v>
      </c>
      <c r="E11" s="121">
        <v>43921</v>
      </c>
      <c r="F11" s="131">
        <v>334.32</v>
      </c>
      <c r="G11" s="131">
        <v>55.72</v>
      </c>
      <c r="H11" s="101">
        <v>193548138</v>
      </c>
    </row>
    <row r="12" spans="2:8" x14ac:dyDescent="0.2">
      <c r="B12" s="101"/>
      <c r="C12" s="101"/>
      <c r="D12" s="101"/>
      <c r="E12" s="121"/>
      <c r="F12" s="131"/>
      <c r="G12" s="131"/>
      <c r="H12" s="101"/>
    </row>
    <row r="13" spans="2:8" x14ac:dyDescent="0.2">
      <c r="B13" s="101"/>
      <c r="C13" s="101"/>
      <c r="D13" s="101"/>
      <c r="E13" s="121"/>
      <c r="F13" s="131"/>
      <c r="G13" s="131">
        <f>SUM(G4:G11)</f>
        <v>132.88999999999999</v>
      </c>
      <c r="H13" s="101"/>
    </row>
    <row r="14" spans="2:8" x14ac:dyDescent="0.2">
      <c r="B14" s="101"/>
      <c r="C14" s="101"/>
      <c r="D14" s="101"/>
      <c r="E14" s="121"/>
      <c r="F14" s="131"/>
      <c r="G14" s="131"/>
      <c r="H14" s="101"/>
    </row>
    <row r="17" spans="1:8" x14ac:dyDescent="0.2">
      <c r="B17" s="91" t="s">
        <v>184</v>
      </c>
      <c r="D17" s="76" t="s">
        <v>220</v>
      </c>
    </row>
    <row r="19" spans="1:8" ht="48" x14ac:dyDescent="0.2">
      <c r="A19" s="121"/>
      <c r="B19" s="85" t="s">
        <v>109</v>
      </c>
      <c r="C19" s="85" t="s">
        <v>115</v>
      </c>
      <c r="D19" s="85" t="s">
        <v>90</v>
      </c>
      <c r="E19" s="132" t="s">
        <v>119</v>
      </c>
      <c r="F19" s="86" t="s">
        <v>120</v>
      </c>
      <c r="G19" s="86" t="s">
        <v>116</v>
      </c>
      <c r="H19" s="85" t="s">
        <v>117</v>
      </c>
    </row>
    <row r="20" spans="1:8" x14ac:dyDescent="0.2">
      <c r="A20" s="121">
        <v>43969</v>
      </c>
      <c r="B20" s="101" t="s">
        <v>207</v>
      </c>
      <c r="C20" s="101" t="s">
        <v>208</v>
      </c>
      <c r="D20" s="101"/>
      <c r="E20" s="121">
        <v>43920</v>
      </c>
      <c r="F20" s="122">
        <v>33.74</v>
      </c>
      <c r="G20" s="122">
        <v>6.75</v>
      </c>
      <c r="H20" s="101" t="s">
        <v>210</v>
      </c>
    </row>
    <row r="21" spans="1:8" x14ac:dyDescent="0.2">
      <c r="A21" s="121"/>
      <c r="B21" s="101" t="s">
        <v>160</v>
      </c>
      <c r="C21" s="101" t="s">
        <v>215</v>
      </c>
      <c r="D21" s="101"/>
      <c r="E21" s="121">
        <v>43922</v>
      </c>
      <c r="F21" s="122">
        <v>14.39</v>
      </c>
      <c r="G21" s="122">
        <v>2.4</v>
      </c>
      <c r="H21" s="101" t="s">
        <v>211</v>
      </c>
    </row>
    <row r="22" spans="1:8" x14ac:dyDescent="0.2">
      <c r="A22" s="121">
        <v>43936</v>
      </c>
      <c r="B22" s="101" t="s">
        <v>185</v>
      </c>
      <c r="C22" s="101" t="s">
        <v>187</v>
      </c>
      <c r="D22" s="101"/>
      <c r="E22" s="121">
        <v>43936</v>
      </c>
      <c r="F22" s="122">
        <v>260.60000000000002</v>
      </c>
      <c r="G22" s="122">
        <v>43.43</v>
      </c>
      <c r="H22" s="101" t="s">
        <v>186</v>
      </c>
    </row>
    <row r="23" spans="1:8" x14ac:dyDescent="0.2">
      <c r="A23" s="121"/>
      <c r="B23" s="101" t="s">
        <v>160</v>
      </c>
      <c r="C23" s="101" t="s">
        <v>216</v>
      </c>
      <c r="D23" s="101"/>
      <c r="E23" s="121">
        <v>43952</v>
      </c>
      <c r="F23" s="122">
        <v>14.39</v>
      </c>
      <c r="G23" s="122">
        <v>2.4</v>
      </c>
      <c r="H23" s="101" t="s">
        <v>211</v>
      </c>
    </row>
    <row r="24" spans="1:8" x14ac:dyDescent="0.2">
      <c r="A24" s="121">
        <v>43980</v>
      </c>
      <c r="B24" s="101" t="s">
        <v>138</v>
      </c>
      <c r="C24" s="101" t="s">
        <v>189</v>
      </c>
      <c r="D24" s="101">
        <v>13122</v>
      </c>
      <c r="E24" s="121">
        <v>43980</v>
      </c>
      <c r="F24" s="122">
        <v>924</v>
      </c>
      <c r="G24" s="122">
        <v>154</v>
      </c>
      <c r="H24" s="101">
        <v>321943962</v>
      </c>
    </row>
    <row r="25" spans="1:8" x14ac:dyDescent="0.2">
      <c r="A25" s="121"/>
      <c r="B25" s="101" t="s">
        <v>160</v>
      </c>
      <c r="C25" s="101" t="s">
        <v>217</v>
      </c>
      <c r="D25" s="101"/>
      <c r="E25" s="121">
        <v>43983</v>
      </c>
      <c r="F25" s="122">
        <v>14.39</v>
      </c>
      <c r="G25" s="122">
        <v>2.4</v>
      </c>
      <c r="H25" s="101" t="s">
        <v>211</v>
      </c>
    </row>
    <row r="26" spans="1:8" x14ac:dyDescent="0.2">
      <c r="A26" s="121">
        <v>44026</v>
      </c>
      <c r="B26" s="101" t="s">
        <v>138</v>
      </c>
      <c r="C26" s="101" t="s">
        <v>188</v>
      </c>
      <c r="D26" s="101">
        <v>13233</v>
      </c>
      <c r="E26" s="121">
        <v>44012</v>
      </c>
      <c r="F26" s="122">
        <v>414</v>
      </c>
      <c r="G26" s="122">
        <v>69</v>
      </c>
      <c r="H26" s="101">
        <v>321943962</v>
      </c>
    </row>
    <row r="27" spans="1:8" x14ac:dyDescent="0.2">
      <c r="A27" s="121"/>
      <c r="B27" s="101" t="s">
        <v>160</v>
      </c>
      <c r="C27" s="101" t="s">
        <v>218</v>
      </c>
      <c r="D27" s="101"/>
      <c r="E27" s="121">
        <v>44013</v>
      </c>
      <c r="F27" s="122">
        <v>14.39</v>
      </c>
      <c r="G27" s="122">
        <v>2.4</v>
      </c>
      <c r="H27" s="101" t="s">
        <v>211</v>
      </c>
    </row>
    <row r="28" spans="1:8" x14ac:dyDescent="0.2">
      <c r="A28" s="121"/>
      <c r="B28" s="101" t="s">
        <v>212</v>
      </c>
      <c r="C28" s="101" t="s">
        <v>213</v>
      </c>
      <c r="D28" s="101"/>
      <c r="E28" s="121">
        <v>44020</v>
      </c>
      <c r="F28" s="122">
        <v>29.99</v>
      </c>
      <c r="G28" s="122">
        <v>5</v>
      </c>
      <c r="H28" s="101" t="s">
        <v>118</v>
      </c>
    </row>
    <row r="29" spans="1:8" x14ac:dyDescent="0.2">
      <c r="A29" s="121">
        <v>44061</v>
      </c>
      <c r="B29" s="101" t="s">
        <v>160</v>
      </c>
      <c r="C29" s="101" t="s">
        <v>219</v>
      </c>
      <c r="D29" s="101"/>
      <c r="E29" s="121">
        <v>44025</v>
      </c>
      <c r="F29" s="122">
        <v>91.9</v>
      </c>
      <c r="G29" s="122">
        <v>15.32</v>
      </c>
      <c r="H29" s="101" t="s">
        <v>211</v>
      </c>
    </row>
    <row r="30" spans="1:8" x14ac:dyDescent="0.2">
      <c r="A30" s="121">
        <v>44043</v>
      </c>
      <c r="B30" s="101" t="s">
        <v>138</v>
      </c>
      <c r="C30" s="101" t="s">
        <v>141</v>
      </c>
      <c r="D30" s="101">
        <v>13293</v>
      </c>
      <c r="E30" s="121">
        <v>44043</v>
      </c>
      <c r="F30" s="122">
        <v>828</v>
      </c>
      <c r="G30" s="122">
        <v>138</v>
      </c>
      <c r="H30" s="101">
        <v>321943962</v>
      </c>
    </row>
    <row r="31" spans="1:8" x14ac:dyDescent="0.2">
      <c r="A31" s="121">
        <v>44088</v>
      </c>
      <c r="B31" s="101" t="s">
        <v>138</v>
      </c>
      <c r="C31" s="101" t="s">
        <v>144</v>
      </c>
      <c r="D31" s="101">
        <v>13341</v>
      </c>
      <c r="E31" s="121">
        <v>44074</v>
      </c>
      <c r="F31" s="122">
        <v>414</v>
      </c>
      <c r="G31" s="122">
        <v>69</v>
      </c>
      <c r="H31" s="101">
        <v>321943962</v>
      </c>
    </row>
    <row r="32" spans="1:8" x14ac:dyDescent="0.2">
      <c r="A32" s="121">
        <v>44095</v>
      </c>
      <c r="B32" s="101" t="s">
        <v>193</v>
      </c>
      <c r="C32" s="101" t="s">
        <v>147</v>
      </c>
      <c r="D32" s="101">
        <v>14304</v>
      </c>
      <c r="E32" s="121">
        <v>44075</v>
      </c>
      <c r="F32" s="122">
        <v>36</v>
      </c>
      <c r="G32" s="122">
        <v>6</v>
      </c>
      <c r="H32" s="101">
        <v>1674413406</v>
      </c>
    </row>
    <row r="33" spans="1:8" x14ac:dyDescent="0.2">
      <c r="A33" s="121">
        <v>44088</v>
      </c>
      <c r="B33" s="101" t="s">
        <v>145</v>
      </c>
      <c r="C33" s="101" t="s">
        <v>190</v>
      </c>
      <c r="D33" s="101">
        <v>6965</v>
      </c>
      <c r="E33" s="121">
        <v>44076</v>
      </c>
      <c r="F33" s="122">
        <v>222</v>
      </c>
      <c r="G33" s="122">
        <v>37</v>
      </c>
      <c r="H33" s="101">
        <v>582552525</v>
      </c>
    </row>
    <row r="34" spans="1:8" x14ac:dyDescent="0.2">
      <c r="A34" s="121">
        <v>44088</v>
      </c>
      <c r="B34" s="101" t="s">
        <v>146</v>
      </c>
      <c r="C34" s="101" t="s">
        <v>191</v>
      </c>
      <c r="D34" s="101" t="s">
        <v>148</v>
      </c>
      <c r="E34" s="121">
        <v>44089</v>
      </c>
      <c r="F34" s="122">
        <v>142</v>
      </c>
      <c r="G34" s="122">
        <v>4.17</v>
      </c>
      <c r="H34" s="101" t="s">
        <v>192</v>
      </c>
    </row>
    <row r="35" spans="1:8" x14ac:dyDescent="0.2">
      <c r="A35" s="121">
        <v>44118</v>
      </c>
      <c r="B35" s="101" t="s">
        <v>149</v>
      </c>
      <c r="C35" s="101" t="s">
        <v>150</v>
      </c>
      <c r="D35" s="101" t="s">
        <v>151</v>
      </c>
      <c r="E35" s="121">
        <v>44094</v>
      </c>
      <c r="F35" s="122">
        <v>60</v>
      </c>
      <c r="G35" s="122">
        <v>10</v>
      </c>
      <c r="H35" s="101">
        <v>665048328</v>
      </c>
    </row>
    <row r="36" spans="1:8" x14ac:dyDescent="0.2">
      <c r="A36" s="121">
        <v>44118</v>
      </c>
      <c r="B36" s="101" t="s">
        <v>193</v>
      </c>
      <c r="C36" s="101" t="s">
        <v>152</v>
      </c>
      <c r="D36" s="101">
        <v>14434</v>
      </c>
      <c r="E36" s="121">
        <v>44099</v>
      </c>
      <c r="F36" s="122">
        <v>36</v>
      </c>
      <c r="G36" s="122">
        <v>6</v>
      </c>
      <c r="H36" s="101">
        <v>1674413406</v>
      </c>
    </row>
    <row r="37" spans="1:8" x14ac:dyDescent="0.2">
      <c r="A37" s="121">
        <v>44118</v>
      </c>
      <c r="B37" s="101" t="s">
        <v>138</v>
      </c>
      <c r="C37" s="101" t="s">
        <v>162</v>
      </c>
      <c r="D37" s="101">
        <v>13418</v>
      </c>
      <c r="E37" s="121">
        <v>44104</v>
      </c>
      <c r="F37" s="122">
        <v>414</v>
      </c>
      <c r="G37" s="122">
        <v>69</v>
      </c>
      <c r="H37" s="101">
        <v>321943962</v>
      </c>
    </row>
    <row r="38" spans="1:8" x14ac:dyDescent="0.2">
      <c r="A38" s="121">
        <v>44153</v>
      </c>
      <c r="B38" s="101" t="s">
        <v>138</v>
      </c>
      <c r="C38" s="101" t="s">
        <v>169</v>
      </c>
      <c r="D38" s="101"/>
      <c r="E38" s="121">
        <v>44135</v>
      </c>
      <c r="F38" s="122">
        <v>828</v>
      </c>
      <c r="G38" s="122">
        <v>138</v>
      </c>
      <c r="H38" s="101">
        <v>321943962</v>
      </c>
    </row>
    <row r="39" spans="1:8" x14ac:dyDescent="0.2">
      <c r="A39" s="121">
        <v>44144</v>
      </c>
      <c r="B39" s="101" t="s">
        <v>199</v>
      </c>
      <c r="C39" s="101" t="s">
        <v>198</v>
      </c>
      <c r="D39" s="101">
        <v>43018</v>
      </c>
      <c r="E39" s="121">
        <v>44141</v>
      </c>
      <c r="F39" s="122">
        <v>96.42</v>
      </c>
      <c r="G39" s="122">
        <v>16.07</v>
      </c>
      <c r="H39" s="101">
        <v>194101875</v>
      </c>
    </row>
    <row r="40" spans="1:8" x14ac:dyDescent="0.2">
      <c r="A40" s="121">
        <v>44153</v>
      </c>
      <c r="B40" s="101" t="s">
        <v>196</v>
      </c>
      <c r="C40" s="101" t="s">
        <v>168</v>
      </c>
      <c r="D40" s="101"/>
      <c r="E40" s="121">
        <v>44144</v>
      </c>
      <c r="F40" s="122">
        <v>95.88</v>
      </c>
      <c r="G40" s="122">
        <v>15.98</v>
      </c>
      <c r="H40" s="101" t="s">
        <v>197</v>
      </c>
    </row>
    <row r="41" spans="1:8" x14ac:dyDescent="0.2">
      <c r="A41" s="121">
        <v>44154</v>
      </c>
      <c r="B41" s="101" t="s">
        <v>202</v>
      </c>
      <c r="C41" s="101" t="s">
        <v>200</v>
      </c>
      <c r="D41" s="101"/>
      <c r="E41" s="121">
        <v>44145</v>
      </c>
      <c r="F41" s="122">
        <v>85.47</v>
      </c>
      <c r="G41" s="122">
        <v>14.25</v>
      </c>
      <c r="H41" s="101" t="s">
        <v>201</v>
      </c>
    </row>
    <row r="42" spans="1:8" x14ac:dyDescent="0.2">
      <c r="A42" s="121"/>
      <c r="B42" s="101" t="s">
        <v>203</v>
      </c>
      <c r="C42" s="101" t="s">
        <v>204</v>
      </c>
      <c r="D42" s="101"/>
      <c r="E42" s="121">
        <v>44145</v>
      </c>
      <c r="F42" s="122">
        <v>29.94</v>
      </c>
      <c r="G42" s="122">
        <v>0</v>
      </c>
      <c r="H42" s="123" t="s">
        <v>214</v>
      </c>
    </row>
    <row r="43" spans="1:8" x14ac:dyDescent="0.2">
      <c r="A43" s="121">
        <v>44148</v>
      </c>
      <c r="B43" s="101" t="s">
        <v>164</v>
      </c>
      <c r="C43" s="101" t="s">
        <v>194</v>
      </c>
      <c r="D43" s="101"/>
      <c r="E43" s="121">
        <v>44148</v>
      </c>
      <c r="F43" s="122">
        <v>120</v>
      </c>
      <c r="G43" s="122">
        <v>20</v>
      </c>
      <c r="H43" s="101">
        <v>376832713</v>
      </c>
    </row>
    <row r="44" spans="1:8" x14ac:dyDescent="0.2">
      <c r="A44" s="121">
        <v>43846</v>
      </c>
      <c r="B44" s="101" t="s">
        <v>195</v>
      </c>
      <c r="C44" s="101" t="s">
        <v>166</v>
      </c>
      <c r="D44" s="101" t="s">
        <v>167</v>
      </c>
      <c r="E44" s="121">
        <v>44148</v>
      </c>
      <c r="F44" s="122">
        <v>432</v>
      </c>
      <c r="G44" s="122">
        <v>72</v>
      </c>
      <c r="H44" s="101">
        <v>329194777</v>
      </c>
    </row>
    <row r="45" spans="1:8" x14ac:dyDescent="0.2">
      <c r="A45" s="121">
        <v>44179</v>
      </c>
      <c r="B45" s="101" t="s">
        <v>181</v>
      </c>
      <c r="C45" s="101" t="s">
        <v>182</v>
      </c>
      <c r="D45" s="101">
        <v>303821</v>
      </c>
      <c r="E45" s="121">
        <v>44162</v>
      </c>
      <c r="F45" s="122">
        <v>240</v>
      </c>
      <c r="G45" s="122">
        <v>40</v>
      </c>
      <c r="H45" s="101">
        <v>120431530</v>
      </c>
    </row>
    <row r="46" spans="1:8" x14ac:dyDescent="0.2">
      <c r="A46" s="121">
        <v>44179</v>
      </c>
      <c r="B46" s="101" t="s">
        <v>205</v>
      </c>
      <c r="C46" s="101" t="s">
        <v>206</v>
      </c>
      <c r="D46" s="101">
        <v>30199</v>
      </c>
      <c r="E46" s="121">
        <v>44165</v>
      </c>
      <c r="F46" s="122">
        <v>576</v>
      </c>
      <c r="G46" s="122">
        <v>96</v>
      </c>
      <c r="H46" s="101" t="s">
        <v>209</v>
      </c>
    </row>
    <row r="47" spans="1:8" x14ac:dyDescent="0.2">
      <c r="E47" s="75"/>
      <c r="F47" s="90">
        <f>SUM(F20:F46)</f>
        <v>6467.5</v>
      </c>
      <c r="G47" s="90">
        <f>SUM(G20:G46)</f>
        <v>1054.57</v>
      </c>
    </row>
    <row r="48" spans="1:8" x14ac:dyDescent="0.2">
      <c r="E48" s="75"/>
    </row>
    <row r="49" spans="1:8" x14ac:dyDescent="0.2">
      <c r="B49" s="91" t="s">
        <v>277</v>
      </c>
    </row>
    <row r="50" spans="1:8" ht="48" x14ac:dyDescent="0.2">
      <c r="A50" s="121"/>
      <c r="B50" s="85" t="s">
        <v>109</v>
      </c>
      <c r="C50" s="85" t="s">
        <v>115</v>
      </c>
      <c r="D50" s="85" t="s">
        <v>90</v>
      </c>
      <c r="E50" s="87" t="s">
        <v>119</v>
      </c>
      <c r="F50" s="86" t="s">
        <v>120</v>
      </c>
      <c r="G50" s="86" t="s">
        <v>116</v>
      </c>
      <c r="H50" s="85" t="s">
        <v>117</v>
      </c>
    </row>
    <row r="51" spans="1:8" ht="16" x14ac:dyDescent="0.2">
      <c r="A51" s="113"/>
      <c r="B51" s="71" t="s">
        <v>103</v>
      </c>
      <c r="C51" s="71" t="s">
        <v>171</v>
      </c>
      <c r="D51" s="102" t="s">
        <v>179</v>
      </c>
      <c r="E51" s="132">
        <v>44172</v>
      </c>
      <c r="F51" s="133">
        <v>61.92</v>
      </c>
      <c r="G51" s="133">
        <v>10.32</v>
      </c>
      <c r="H51" s="134" t="s">
        <v>235</v>
      </c>
    </row>
    <row r="52" spans="1:8" ht="16" x14ac:dyDescent="0.2">
      <c r="A52" s="113">
        <v>44179</v>
      </c>
      <c r="B52" s="71" t="s">
        <v>103</v>
      </c>
      <c r="C52" s="71" t="s">
        <v>176</v>
      </c>
      <c r="D52" s="102" t="s">
        <v>178</v>
      </c>
      <c r="E52" s="132">
        <v>44170</v>
      </c>
      <c r="F52" s="133">
        <v>27.06</v>
      </c>
      <c r="G52" s="133">
        <v>4.62</v>
      </c>
      <c r="H52" s="134" t="s">
        <v>233</v>
      </c>
    </row>
    <row r="53" spans="1:8" ht="16" x14ac:dyDescent="0.2">
      <c r="A53" s="113">
        <v>44179</v>
      </c>
      <c r="B53" s="83" t="s">
        <v>103</v>
      </c>
      <c r="C53" s="83" t="s">
        <v>177</v>
      </c>
      <c r="D53" s="124" t="s">
        <v>180</v>
      </c>
      <c r="E53" s="132">
        <v>44172</v>
      </c>
      <c r="F53" s="133">
        <v>11.99</v>
      </c>
      <c r="G53" s="133">
        <v>2</v>
      </c>
      <c r="H53" s="134" t="s">
        <v>234</v>
      </c>
    </row>
    <row r="54" spans="1:8" x14ac:dyDescent="0.2">
      <c r="A54" s="121">
        <v>44553</v>
      </c>
      <c r="B54" s="101" t="s">
        <v>149</v>
      </c>
      <c r="C54" s="101" t="s">
        <v>221</v>
      </c>
      <c r="D54" s="101" t="s">
        <v>222</v>
      </c>
      <c r="E54" s="121">
        <v>44186</v>
      </c>
      <c r="F54" s="122">
        <v>384</v>
      </c>
      <c r="G54" s="122">
        <v>64</v>
      </c>
      <c r="H54" s="101">
        <v>665048328</v>
      </c>
    </row>
    <row r="55" spans="1:8" x14ac:dyDescent="0.2">
      <c r="A55" s="121">
        <v>44208</v>
      </c>
      <c r="B55" s="101" t="s">
        <v>145</v>
      </c>
      <c r="C55" s="101" t="s">
        <v>224</v>
      </c>
      <c r="D55" s="101">
        <v>7083</v>
      </c>
      <c r="E55" s="121">
        <v>44200</v>
      </c>
      <c r="F55" s="122">
        <v>15400.8</v>
      </c>
      <c r="G55" s="122">
        <v>2566.8000000000002</v>
      </c>
      <c r="H55" s="101">
        <v>582552525</v>
      </c>
    </row>
    <row r="56" spans="1:8" x14ac:dyDescent="0.2">
      <c r="A56" s="121">
        <v>44208</v>
      </c>
      <c r="B56" s="101" t="s">
        <v>145</v>
      </c>
      <c r="C56" s="101" t="s">
        <v>225</v>
      </c>
      <c r="D56" s="101">
        <v>7084</v>
      </c>
      <c r="E56" s="121">
        <v>44200</v>
      </c>
      <c r="F56" s="122">
        <v>2614.8000000000002</v>
      </c>
      <c r="G56" s="122">
        <v>435.8</v>
      </c>
      <c r="H56" s="101">
        <v>582552525</v>
      </c>
    </row>
    <row r="57" spans="1:8" x14ac:dyDescent="0.2">
      <c r="A57" s="121">
        <v>44222</v>
      </c>
      <c r="B57" s="101" t="s">
        <v>31</v>
      </c>
      <c r="C57" s="101" t="s">
        <v>226</v>
      </c>
      <c r="D57" s="101">
        <v>14594</v>
      </c>
      <c r="E57" s="121">
        <v>44211</v>
      </c>
      <c r="F57" s="122">
        <v>36</v>
      </c>
      <c r="G57" s="122">
        <v>6</v>
      </c>
      <c r="H57" s="101">
        <v>167413406</v>
      </c>
    </row>
    <row r="58" spans="1:8" x14ac:dyDescent="0.2">
      <c r="A58" s="121">
        <v>44244</v>
      </c>
      <c r="B58" s="101" t="s">
        <v>31</v>
      </c>
      <c r="C58" s="101" t="s">
        <v>226</v>
      </c>
      <c r="D58" s="101">
        <v>14639</v>
      </c>
      <c r="E58" s="121">
        <v>44221</v>
      </c>
      <c r="F58" s="122">
        <v>36</v>
      </c>
      <c r="G58" s="122">
        <v>6</v>
      </c>
      <c r="H58" s="101">
        <v>167413406</v>
      </c>
    </row>
    <row r="59" spans="1:8" x14ac:dyDescent="0.2">
      <c r="A59" s="121">
        <v>44244</v>
      </c>
      <c r="B59" s="101" t="s">
        <v>103</v>
      </c>
      <c r="C59" s="101" t="s">
        <v>228</v>
      </c>
      <c r="D59" s="101" t="s">
        <v>229</v>
      </c>
      <c r="E59" s="121">
        <v>44236</v>
      </c>
      <c r="F59" s="122">
        <v>73.12</v>
      </c>
      <c r="G59" s="122">
        <v>12.19</v>
      </c>
      <c r="H59" s="101">
        <v>61157341</v>
      </c>
    </row>
    <row r="60" spans="1:8" x14ac:dyDescent="0.2">
      <c r="A60" s="121">
        <v>44256</v>
      </c>
      <c r="B60" s="101" t="s">
        <v>163</v>
      </c>
      <c r="C60" s="101" t="s">
        <v>227</v>
      </c>
      <c r="D60" s="101">
        <v>43230</v>
      </c>
      <c r="E60" s="121">
        <v>44252</v>
      </c>
      <c r="F60" s="122">
        <v>103.64</v>
      </c>
      <c r="G60" s="122">
        <v>17.27</v>
      </c>
      <c r="H60" s="101">
        <v>194101875</v>
      </c>
    </row>
    <row r="61" spans="1:8" x14ac:dyDescent="0.2">
      <c r="A61" s="121">
        <v>44260</v>
      </c>
      <c r="B61" s="101" t="s">
        <v>103</v>
      </c>
      <c r="C61" s="101" t="s">
        <v>231</v>
      </c>
      <c r="D61" s="101" t="s">
        <v>230</v>
      </c>
      <c r="E61" s="121">
        <v>44239</v>
      </c>
      <c r="F61" s="122">
        <v>26.39</v>
      </c>
      <c r="G61" s="122">
        <v>4.4000000000000004</v>
      </c>
      <c r="H61" s="101" t="s">
        <v>236</v>
      </c>
    </row>
    <row r="62" spans="1:8" x14ac:dyDescent="0.2">
      <c r="A62" s="121">
        <v>44260</v>
      </c>
      <c r="B62" s="101" t="s">
        <v>103</v>
      </c>
      <c r="C62" s="101" t="s">
        <v>232</v>
      </c>
      <c r="D62" s="101">
        <v>17405</v>
      </c>
      <c r="E62" s="121">
        <v>44264</v>
      </c>
      <c r="F62" s="122">
        <v>86.4</v>
      </c>
      <c r="G62" s="122">
        <v>14.4</v>
      </c>
      <c r="H62" s="101">
        <v>887750270</v>
      </c>
    </row>
    <row r="63" spans="1:8" x14ac:dyDescent="0.2">
      <c r="A63" s="121"/>
      <c r="B63" s="101" t="s">
        <v>103</v>
      </c>
      <c r="C63" s="101" t="s">
        <v>237</v>
      </c>
      <c r="D63" s="101" t="s">
        <v>238</v>
      </c>
      <c r="E63" s="121">
        <v>44244</v>
      </c>
      <c r="F63" s="122">
        <v>6.85</v>
      </c>
      <c r="G63" s="122">
        <v>0.76</v>
      </c>
      <c r="H63" s="101" t="s">
        <v>239</v>
      </c>
    </row>
    <row r="64" spans="1:8" x14ac:dyDescent="0.2">
      <c r="G64" s="89">
        <f>SUM(G51:G63)</f>
        <v>3144.5600000000009</v>
      </c>
    </row>
    <row r="65" spans="1:8" x14ac:dyDescent="0.2">
      <c r="B65" s="91" t="s">
        <v>278</v>
      </c>
    </row>
    <row r="66" spans="1:8" ht="48" x14ac:dyDescent="0.2">
      <c r="A66" s="121" t="s">
        <v>279</v>
      </c>
      <c r="B66" s="85" t="s">
        <v>109</v>
      </c>
      <c r="C66" s="85" t="s">
        <v>115</v>
      </c>
      <c r="D66" s="85" t="s">
        <v>90</v>
      </c>
      <c r="E66" s="87" t="s">
        <v>119</v>
      </c>
      <c r="F66" s="86" t="s">
        <v>120</v>
      </c>
      <c r="G66" s="86" t="s">
        <v>116</v>
      </c>
      <c r="H66" s="85" t="s">
        <v>117</v>
      </c>
    </row>
    <row r="67" spans="1:8" x14ac:dyDescent="0.2">
      <c r="A67" s="113">
        <v>44298</v>
      </c>
      <c r="B67" s="71" t="s">
        <v>138</v>
      </c>
      <c r="C67" s="71" t="s">
        <v>242</v>
      </c>
      <c r="D67" s="102">
        <v>13745</v>
      </c>
      <c r="E67" s="121">
        <v>44286</v>
      </c>
      <c r="F67" s="131">
        <v>414</v>
      </c>
      <c r="G67" s="131">
        <v>69</v>
      </c>
      <c r="H67" s="101">
        <v>321943962</v>
      </c>
    </row>
    <row r="68" spans="1:8" x14ac:dyDescent="0.2">
      <c r="A68" s="113">
        <v>44504</v>
      </c>
      <c r="B68" s="71" t="s">
        <v>105</v>
      </c>
      <c r="C68" s="71" t="s">
        <v>244</v>
      </c>
      <c r="D68" s="102">
        <v>30117</v>
      </c>
      <c r="E68" s="121">
        <v>44130</v>
      </c>
      <c r="F68" s="131">
        <v>60</v>
      </c>
      <c r="G68" s="131">
        <v>10</v>
      </c>
      <c r="H68" s="101">
        <v>744541532</v>
      </c>
    </row>
    <row r="69" spans="1:8" x14ac:dyDescent="0.2">
      <c r="A69" s="113">
        <v>44286</v>
      </c>
      <c r="B69" s="71" t="s">
        <v>101</v>
      </c>
      <c r="C69" s="71" t="s">
        <v>245</v>
      </c>
      <c r="D69" s="102">
        <v>602449280</v>
      </c>
      <c r="E69" s="121">
        <v>44286</v>
      </c>
      <c r="F69" s="131">
        <v>356.92</v>
      </c>
      <c r="G69" s="131">
        <v>59.48</v>
      </c>
      <c r="H69" s="101">
        <v>193548138</v>
      </c>
    </row>
    <row r="70" spans="1:8" x14ac:dyDescent="0.2">
      <c r="A70" s="113">
        <v>44298</v>
      </c>
      <c r="B70" s="71" t="s">
        <v>143</v>
      </c>
      <c r="C70" s="71" t="s">
        <v>240</v>
      </c>
      <c r="D70" s="102">
        <v>489511</v>
      </c>
      <c r="E70" s="121">
        <v>44295</v>
      </c>
      <c r="F70" s="131">
        <v>264</v>
      </c>
      <c r="G70" s="131">
        <v>44</v>
      </c>
      <c r="H70" s="101">
        <v>819157023</v>
      </c>
    </row>
    <row r="71" spans="1:8" x14ac:dyDescent="0.2">
      <c r="A71" s="113">
        <v>44298</v>
      </c>
      <c r="B71" s="71" t="s">
        <v>143</v>
      </c>
      <c r="C71" s="71" t="s">
        <v>280</v>
      </c>
      <c r="D71" s="102">
        <v>489513</v>
      </c>
      <c r="E71" s="121">
        <v>44295</v>
      </c>
      <c r="F71" s="131">
        <v>86.4</v>
      </c>
      <c r="G71" s="131">
        <v>14.4</v>
      </c>
      <c r="H71" s="101">
        <v>819157023</v>
      </c>
    </row>
    <row r="72" spans="1:8" x14ac:dyDescent="0.2">
      <c r="A72" s="113">
        <v>44326</v>
      </c>
      <c r="B72" s="71" t="s">
        <v>138</v>
      </c>
      <c r="C72" s="71" t="s">
        <v>246</v>
      </c>
      <c r="D72" s="102">
        <v>13807</v>
      </c>
      <c r="E72" s="121">
        <v>44316</v>
      </c>
      <c r="F72" s="131">
        <v>414</v>
      </c>
      <c r="G72" s="131">
        <v>69</v>
      </c>
      <c r="H72" s="101">
        <v>321943962</v>
      </c>
    </row>
    <row r="73" spans="1:8" x14ac:dyDescent="0.2">
      <c r="A73" s="113">
        <v>44327</v>
      </c>
      <c r="B73" s="71" t="s">
        <v>143</v>
      </c>
      <c r="C73" s="71" t="s">
        <v>247</v>
      </c>
      <c r="D73" s="102">
        <v>391</v>
      </c>
      <c r="E73" s="121">
        <v>44309</v>
      </c>
      <c r="F73" s="131">
        <v>5.62</v>
      </c>
      <c r="G73" s="131">
        <v>1.1200000000000001</v>
      </c>
      <c r="H73" s="101">
        <v>222516987</v>
      </c>
    </row>
    <row r="74" spans="1:8" x14ac:dyDescent="0.2">
      <c r="A74" s="113">
        <v>44361</v>
      </c>
      <c r="B74" s="71" t="s">
        <v>138</v>
      </c>
      <c r="C74" s="71" t="s">
        <v>248</v>
      </c>
      <c r="D74" s="102">
        <v>13865</v>
      </c>
      <c r="E74" s="121">
        <v>44347</v>
      </c>
      <c r="F74" s="131">
        <v>828</v>
      </c>
      <c r="G74" s="131">
        <v>138</v>
      </c>
      <c r="H74" s="101">
        <v>321943962</v>
      </c>
    </row>
    <row r="75" spans="1:8" x14ac:dyDescent="0.2">
      <c r="A75" s="154">
        <v>44362</v>
      </c>
      <c r="B75" s="155" t="s">
        <v>103</v>
      </c>
      <c r="C75" s="101" t="s">
        <v>250</v>
      </c>
      <c r="D75" s="102" t="s">
        <v>254</v>
      </c>
      <c r="E75" s="121">
        <v>44362</v>
      </c>
      <c r="F75" s="131">
        <v>208.4</v>
      </c>
      <c r="G75" s="131">
        <v>34.74</v>
      </c>
      <c r="H75" s="101">
        <v>895296854</v>
      </c>
    </row>
    <row r="76" spans="1:8" ht="16" x14ac:dyDescent="0.2">
      <c r="A76" s="154">
        <v>44384</v>
      </c>
      <c r="B76" s="156" t="s">
        <v>251</v>
      </c>
      <c r="C76" s="134" t="s">
        <v>252</v>
      </c>
      <c r="D76" s="102" t="s">
        <v>255</v>
      </c>
      <c r="E76" s="121">
        <v>44384</v>
      </c>
      <c r="F76" s="131">
        <v>450</v>
      </c>
      <c r="G76" s="131">
        <v>75</v>
      </c>
      <c r="H76" s="101">
        <v>329194777</v>
      </c>
    </row>
    <row r="77" spans="1:8" x14ac:dyDescent="0.2">
      <c r="A77" s="154">
        <v>44384</v>
      </c>
      <c r="B77" s="155" t="s">
        <v>138</v>
      </c>
      <c r="C77" s="155" t="s">
        <v>253</v>
      </c>
      <c r="D77" s="102">
        <v>13924</v>
      </c>
      <c r="E77" s="121">
        <v>44377</v>
      </c>
      <c r="F77" s="131">
        <v>828</v>
      </c>
      <c r="G77" s="131">
        <v>138</v>
      </c>
      <c r="H77" s="101">
        <v>321943962</v>
      </c>
    </row>
    <row r="78" spans="1:8" x14ac:dyDescent="0.2">
      <c r="A78" s="154">
        <v>44392</v>
      </c>
      <c r="B78" s="155" t="s">
        <v>256</v>
      </c>
      <c r="C78" s="101" t="s">
        <v>281</v>
      </c>
      <c r="D78" s="102">
        <v>2287</v>
      </c>
      <c r="E78" s="121">
        <v>44392</v>
      </c>
      <c r="F78" s="131">
        <v>117.6</v>
      </c>
      <c r="G78" s="131">
        <v>19.600000000000001</v>
      </c>
      <c r="H78" s="101">
        <v>372837764</v>
      </c>
    </row>
    <row r="79" spans="1:8" x14ac:dyDescent="0.2">
      <c r="A79" s="154">
        <v>44428</v>
      </c>
      <c r="B79" s="155" t="s">
        <v>103</v>
      </c>
      <c r="C79" s="101" t="s">
        <v>257</v>
      </c>
      <c r="D79" s="102">
        <v>96841634</v>
      </c>
      <c r="E79" s="121">
        <v>44390</v>
      </c>
      <c r="F79" s="131">
        <v>143.88</v>
      </c>
      <c r="G79" s="131">
        <v>23.98</v>
      </c>
      <c r="H79" s="101" t="s">
        <v>282</v>
      </c>
    </row>
    <row r="80" spans="1:8" x14ac:dyDescent="0.2">
      <c r="A80" s="154">
        <v>44428</v>
      </c>
      <c r="B80" s="155" t="s">
        <v>138</v>
      </c>
      <c r="C80" s="101" t="s">
        <v>258</v>
      </c>
      <c r="D80" s="102">
        <v>13981</v>
      </c>
      <c r="E80" s="121">
        <v>44408</v>
      </c>
      <c r="F80" s="131">
        <v>414</v>
      </c>
      <c r="G80" s="131">
        <v>69</v>
      </c>
      <c r="H80" s="101">
        <v>321943962</v>
      </c>
    </row>
    <row r="81" spans="1:8" x14ac:dyDescent="0.2">
      <c r="A81" s="154">
        <v>44452</v>
      </c>
      <c r="B81" s="155" t="s">
        <v>138</v>
      </c>
      <c r="C81" s="101" t="s">
        <v>260</v>
      </c>
      <c r="D81" s="102">
        <v>14036</v>
      </c>
      <c r="E81" s="121">
        <v>44439</v>
      </c>
      <c r="F81" s="131">
        <v>828</v>
      </c>
      <c r="G81" s="131">
        <v>138</v>
      </c>
      <c r="H81" s="101">
        <v>321943962</v>
      </c>
    </row>
    <row r="82" spans="1:8" x14ac:dyDescent="0.2">
      <c r="A82" s="154">
        <v>44494</v>
      </c>
      <c r="B82" s="155" t="s">
        <v>138</v>
      </c>
      <c r="C82" s="101" t="s">
        <v>264</v>
      </c>
      <c r="D82" s="102">
        <v>14100</v>
      </c>
      <c r="E82" s="121">
        <v>44469</v>
      </c>
      <c r="F82" s="131">
        <v>828</v>
      </c>
      <c r="G82" s="131">
        <v>138</v>
      </c>
      <c r="H82" s="101">
        <v>321943962</v>
      </c>
    </row>
    <row r="83" spans="1:8" x14ac:dyDescent="0.2">
      <c r="A83" s="154">
        <v>44497</v>
      </c>
      <c r="B83" s="155" t="s">
        <v>105</v>
      </c>
      <c r="C83" s="101" t="s">
        <v>263</v>
      </c>
      <c r="D83" s="102">
        <v>30861</v>
      </c>
      <c r="E83" s="121">
        <v>44494</v>
      </c>
      <c r="F83" s="131">
        <v>60</v>
      </c>
      <c r="G83" s="131">
        <v>10</v>
      </c>
      <c r="H83" s="101">
        <v>744541532</v>
      </c>
    </row>
    <row r="84" spans="1:8" x14ac:dyDescent="0.2">
      <c r="A84" s="154">
        <v>44515</v>
      </c>
      <c r="B84" s="155" t="s">
        <v>265</v>
      </c>
      <c r="C84" s="101" t="s">
        <v>283</v>
      </c>
      <c r="D84" s="102">
        <v>96904</v>
      </c>
      <c r="E84" s="121">
        <v>44494</v>
      </c>
      <c r="F84" s="131">
        <v>453.75</v>
      </c>
      <c r="G84" s="131">
        <v>75.63</v>
      </c>
      <c r="H84" s="101">
        <v>859024315</v>
      </c>
    </row>
    <row r="85" spans="1:8" x14ac:dyDescent="0.2">
      <c r="A85" s="154">
        <v>44515</v>
      </c>
      <c r="B85" s="155" t="s">
        <v>121</v>
      </c>
      <c r="C85" s="101" t="s">
        <v>266</v>
      </c>
      <c r="D85" s="102">
        <v>50368</v>
      </c>
      <c r="E85" s="121">
        <v>44502</v>
      </c>
      <c r="F85" s="131">
        <v>84</v>
      </c>
      <c r="G85" s="131">
        <v>14</v>
      </c>
      <c r="H85" s="101">
        <v>899727928</v>
      </c>
    </row>
    <row r="86" spans="1:8" x14ac:dyDescent="0.2">
      <c r="A86" s="154">
        <v>44515</v>
      </c>
      <c r="B86" s="155" t="s">
        <v>181</v>
      </c>
      <c r="C86" s="101" t="s">
        <v>267</v>
      </c>
      <c r="D86" s="102">
        <v>307878</v>
      </c>
      <c r="E86" s="121">
        <v>44462</v>
      </c>
      <c r="F86" s="131">
        <v>240</v>
      </c>
      <c r="G86" s="131">
        <v>40</v>
      </c>
      <c r="H86" s="101">
        <v>120431530</v>
      </c>
    </row>
    <row r="87" spans="1:8" x14ac:dyDescent="0.2">
      <c r="A87" s="154">
        <v>44517</v>
      </c>
      <c r="B87" s="71" t="s">
        <v>138</v>
      </c>
      <c r="C87" s="71" t="s">
        <v>268</v>
      </c>
      <c r="D87" s="102">
        <v>14168</v>
      </c>
      <c r="E87" s="121">
        <v>44500</v>
      </c>
      <c r="F87" s="131">
        <v>414</v>
      </c>
      <c r="G87" s="131">
        <v>69</v>
      </c>
      <c r="H87" s="101">
        <v>321943962</v>
      </c>
    </row>
    <row r="88" spans="1:8" x14ac:dyDescent="0.2">
      <c r="A88" s="154">
        <v>44544</v>
      </c>
      <c r="B88" s="101" t="s">
        <v>103</v>
      </c>
      <c r="C88" s="101" t="s">
        <v>269</v>
      </c>
      <c r="D88" s="102" t="s">
        <v>275</v>
      </c>
      <c r="E88" s="121">
        <v>44509</v>
      </c>
      <c r="F88" s="131">
        <v>95.88</v>
      </c>
      <c r="G88" s="131">
        <v>15.98</v>
      </c>
      <c r="H88" s="101" t="s">
        <v>197</v>
      </c>
    </row>
    <row r="89" spans="1:8" x14ac:dyDescent="0.2">
      <c r="A89" s="154">
        <v>44544</v>
      </c>
      <c r="B89" s="101" t="s">
        <v>105</v>
      </c>
      <c r="C89" s="101" t="s">
        <v>270</v>
      </c>
      <c r="D89" s="102">
        <v>30928</v>
      </c>
      <c r="E89" s="121">
        <v>44525</v>
      </c>
      <c r="F89" s="131">
        <v>150</v>
      </c>
      <c r="G89" s="131">
        <v>25</v>
      </c>
      <c r="H89" s="101">
        <v>744541532</v>
      </c>
    </row>
    <row r="90" spans="1:8" x14ac:dyDescent="0.2">
      <c r="A90" s="154">
        <v>44544</v>
      </c>
      <c r="B90" s="101" t="s">
        <v>271</v>
      </c>
      <c r="C90" s="101" t="s">
        <v>272</v>
      </c>
      <c r="D90" s="102" t="s">
        <v>284</v>
      </c>
      <c r="E90" s="121">
        <v>44526</v>
      </c>
      <c r="F90" s="131">
        <v>150</v>
      </c>
      <c r="G90" s="131">
        <v>25</v>
      </c>
      <c r="H90" s="101">
        <v>376832713</v>
      </c>
    </row>
    <row r="91" spans="1:8" x14ac:dyDescent="0.2">
      <c r="A91" s="154">
        <v>44544</v>
      </c>
      <c r="B91" s="101" t="s">
        <v>273</v>
      </c>
      <c r="C91" s="101" t="s">
        <v>274</v>
      </c>
      <c r="D91" s="102">
        <v>30944</v>
      </c>
      <c r="E91" s="121">
        <v>44530</v>
      </c>
      <c r="F91" s="131">
        <v>576</v>
      </c>
      <c r="G91" s="131">
        <v>96</v>
      </c>
      <c r="H91" s="101">
        <v>744541532</v>
      </c>
    </row>
    <row r="92" spans="1:8" x14ac:dyDescent="0.2">
      <c r="A92" s="154">
        <v>44544</v>
      </c>
      <c r="B92" s="101" t="s">
        <v>103</v>
      </c>
      <c r="C92" s="101" t="s">
        <v>288</v>
      </c>
      <c r="D92" s="102" t="s">
        <v>285</v>
      </c>
      <c r="E92" s="121">
        <v>44543</v>
      </c>
      <c r="F92" s="131">
        <v>52.3</v>
      </c>
      <c r="G92" s="131">
        <v>8.7200000000000006</v>
      </c>
      <c r="H92" s="101">
        <v>385529654</v>
      </c>
    </row>
    <row r="93" spans="1:8" x14ac:dyDescent="0.2">
      <c r="A93" s="154">
        <v>44544</v>
      </c>
      <c r="B93" s="101" t="s">
        <v>103</v>
      </c>
      <c r="C93" s="101" t="s">
        <v>287</v>
      </c>
      <c r="D93" s="102" t="s">
        <v>286</v>
      </c>
      <c r="E93" s="121">
        <v>44543</v>
      </c>
      <c r="F93" s="131">
        <v>25.7</v>
      </c>
      <c r="G93" s="131">
        <v>4.28</v>
      </c>
      <c r="H93" s="101">
        <v>385529654</v>
      </c>
    </row>
    <row r="94" spans="1:8" x14ac:dyDescent="0.2">
      <c r="A94" s="154">
        <v>44544</v>
      </c>
      <c r="B94" s="101" t="s">
        <v>138</v>
      </c>
      <c r="C94" s="71" t="s">
        <v>276</v>
      </c>
      <c r="D94" s="102">
        <v>14237</v>
      </c>
      <c r="E94" s="121">
        <v>44530</v>
      </c>
      <c r="F94" s="131">
        <v>414</v>
      </c>
      <c r="G94" s="131">
        <v>69</v>
      </c>
      <c r="H94" s="101">
        <v>321943962</v>
      </c>
    </row>
    <row r="95" spans="1:8" x14ac:dyDescent="0.2">
      <c r="A95" s="154">
        <v>44544</v>
      </c>
      <c r="B95" s="101" t="s">
        <v>241</v>
      </c>
      <c r="C95" s="101" t="s">
        <v>289</v>
      </c>
      <c r="D95" s="102">
        <v>70704</v>
      </c>
      <c r="E95" s="121">
        <v>44517</v>
      </c>
      <c r="F95" s="131">
        <v>12.95</v>
      </c>
      <c r="G95" s="131">
        <v>2.16</v>
      </c>
      <c r="H95" s="101">
        <v>751847510</v>
      </c>
    </row>
    <row r="96" spans="1:8" x14ac:dyDescent="0.2">
      <c r="A96" s="154">
        <v>44544</v>
      </c>
      <c r="B96" s="101" t="s">
        <v>241</v>
      </c>
      <c r="C96" s="101" t="s">
        <v>292</v>
      </c>
      <c r="D96" s="102" t="s">
        <v>290</v>
      </c>
      <c r="E96" s="121">
        <v>44512</v>
      </c>
      <c r="F96" s="131">
        <v>11.98</v>
      </c>
      <c r="G96" s="131">
        <v>2</v>
      </c>
      <c r="H96" s="101" t="s">
        <v>291</v>
      </c>
    </row>
    <row r="97" spans="1:8" x14ac:dyDescent="0.2">
      <c r="A97" s="154">
        <v>44544</v>
      </c>
      <c r="B97" s="101" t="s">
        <v>241</v>
      </c>
      <c r="C97" s="101" t="s">
        <v>293</v>
      </c>
      <c r="D97" s="102">
        <v>2343206</v>
      </c>
      <c r="E97" s="121">
        <v>44526</v>
      </c>
      <c r="F97" s="131">
        <v>40.96</v>
      </c>
      <c r="G97" s="131">
        <v>6.83</v>
      </c>
      <c r="H97" s="101" t="s">
        <v>294</v>
      </c>
    </row>
    <row r="98" spans="1:8" x14ac:dyDescent="0.2">
      <c r="F98" s="157">
        <f>SUM(F67:F97)</f>
        <v>9028.34</v>
      </c>
      <c r="G98" s="157">
        <f>SUM(G67:G97)</f>
        <v>1504.9200000000003</v>
      </c>
      <c r="H98" s="76" t="s">
        <v>295</v>
      </c>
    </row>
    <row r="99" spans="1:8" x14ac:dyDescent="0.2">
      <c r="B99" s="91" t="s">
        <v>339</v>
      </c>
    </row>
    <row r="100" spans="1:8" ht="48" x14ac:dyDescent="0.2">
      <c r="A100" s="121" t="s">
        <v>279</v>
      </c>
      <c r="B100" s="85" t="s">
        <v>109</v>
      </c>
      <c r="C100" s="85" t="s">
        <v>115</v>
      </c>
      <c r="D100" s="85" t="s">
        <v>90</v>
      </c>
      <c r="E100" s="87" t="s">
        <v>119</v>
      </c>
      <c r="F100" s="86" t="s">
        <v>120</v>
      </c>
      <c r="G100" s="86" t="s">
        <v>116</v>
      </c>
      <c r="H100" s="85" t="s">
        <v>117</v>
      </c>
    </row>
    <row r="101" spans="1:8" x14ac:dyDescent="0.2">
      <c r="A101" s="121">
        <v>44574</v>
      </c>
      <c r="B101" s="101" t="s">
        <v>296</v>
      </c>
      <c r="C101" s="101" t="s">
        <v>297</v>
      </c>
      <c r="D101" s="101" t="s">
        <v>259</v>
      </c>
      <c r="E101" s="121">
        <v>44530</v>
      </c>
      <c r="F101" s="131">
        <v>20.88</v>
      </c>
      <c r="G101" s="131">
        <v>3.48</v>
      </c>
      <c r="H101" s="101">
        <v>755163721</v>
      </c>
    </row>
    <row r="102" spans="1:8" x14ac:dyDescent="0.2">
      <c r="A102" s="121">
        <v>44579</v>
      </c>
      <c r="B102" s="101" t="s">
        <v>103</v>
      </c>
      <c r="C102" s="101" t="s">
        <v>237</v>
      </c>
      <c r="D102" s="101" t="s">
        <v>300</v>
      </c>
      <c r="E102" s="121">
        <v>44568</v>
      </c>
      <c r="F102" s="131">
        <v>15.91</v>
      </c>
      <c r="G102" s="131">
        <v>3.18</v>
      </c>
      <c r="H102" s="101">
        <v>727255821</v>
      </c>
    </row>
    <row r="103" spans="1:8" x14ac:dyDescent="0.2">
      <c r="A103" s="121">
        <v>44579</v>
      </c>
      <c r="B103" s="101" t="s">
        <v>298</v>
      </c>
      <c r="C103" s="101" t="s">
        <v>299</v>
      </c>
      <c r="D103" s="101">
        <v>658</v>
      </c>
      <c r="E103" s="121">
        <v>44577</v>
      </c>
      <c r="F103" s="131">
        <v>540</v>
      </c>
      <c r="G103" s="131">
        <v>90</v>
      </c>
      <c r="H103" s="101">
        <v>375930664</v>
      </c>
    </row>
    <row r="104" spans="1:8" x14ac:dyDescent="0.2">
      <c r="A104" s="121">
        <v>44607</v>
      </c>
      <c r="B104" s="101" t="s">
        <v>301</v>
      </c>
      <c r="C104" s="101" t="s">
        <v>303</v>
      </c>
      <c r="D104" s="101">
        <v>7485</v>
      </c>
      <c r="E104" s="121">
        <v>44606</v>
      </c>
      <c r="F104" s="131">
        <v>240</v>
      </c>
      <c r="G104" s="131">
        <v>40</v>
      </c>
      <c r="H104" s="101">
        <v>582552525</v>
      </c>
    </row>
    <row r="105" spans="1:8" x14ac:dyDescent="0.2">
      <c r="A105" s="121">
        <v>44634</v>
      </c>
      <c r="B105" s="101" t="s">
        <v>121</v>
      </c>
      <c r="C105" s="101" t="s">
        <v>302</v>
      </c>
      <c r="D105" s="101">
        <v>50535</v>
      </c>
      <c r="E105" s="121">
        <v>44607</v>
      </c>
      <c r="F105" s="131">
        <v>84</v>
      </c>
      <c r="G105" s="131">
        <v>14</v>
      </c>
      <c r="H105" s="101">
        <v>899727928</v>
      </c>
    </row>
    <row r="106" spans="1:8" x14ac:dyDescent="0.2">
      <c r="F106" s="89">
        <f>SUM(F101:F105)</f>
        <v>900.79</v>
      </c>
      <c r="G106" s="89">
        <f>SUM(G101:G105)</f>
        <v>150.66</v>
      </c>
    </row>
    <row r="108" spans="1:8" x14ac:dyDescent="0.2">
      <c r="B108" s="91" t="s">
        <v>346</v>
      </c>
    </row>
    <row r="109" spans="1:8" ht="48" x14ac:dyDescent="0.2">
      <c r="A109" s="87" t="s">
        <v>119</v>
      </c>
      <c r="B109" s="85" t="s">
        <v>109</v>
      </c>
      <c r="C109" s="85" t="s">
        <v>115</v>
      </c>
      <c r="D109" s="85" t="s">
        <v>90</v>
      </c>
      <c r="E109" s="87" t="s">
        <v>119</v>
      </c>
      <c r="F109" s="86" t="s">
        <v>120</v>
      </c>
      <c r="G109" s="86" t="s">
        <v>116</v>
      </c>
      <c r="H109" s="85" t="s">
        <v>117</v>
      </c>
    </row>
    <row r="110" spans="1:8" x14ac:dyDescent="0.2">
      <c r="A110" s="175">
        <v>44651</v>
      </c>
      <c r="B110" s="101" t="s">
        <v>101</v>
      </c>
      <c r="C110" s="101" t="s">
        <v>304</v>
      </c>
      <c r="D110" s="101">
        <v>602666410</v>
      </c>
      <c r="E110" s="101"/>
      <c r="F110" s="131">
        <v>361.92</v>
      </c>
      <c r="G110" s="131">
        <v>60.32</v>
      </c>
      <c r="H110" s="101">
        <v>193548138</v>
      </c>
    </row>
    <row r="111" spans="1:8" x14ac:dyDescent="0.2">
      <c r="A111" s="175">
        <v>44651</v>
      </c>
      <c r="B111" s="101" t="s">
        <v>138</v>
      </c>
      <c r="C111" s="101" t="s">
        <v>305</v>
      </c>
      <c r="D111" s="101">
        <v>14443</v>
      </c>
      <c r="E111" s="101"/>
      <c r="F111" s="131">
        <v>828</v>
      </c>
      <c r="G111" s="131">
        <v>138</v>
      </c>
      <c r="H111" s="101">
        <v>321943962</v>
      </c>
    </row>
    <row r="112" spans="1:8" x14ac:dyDescent="0.2">
      <c r="A112" s="175">
        <v>44682</v>
      </c>
      <c r="B112" s="101" t="s">
        <v>298</v>
      </c>
      <c r="C112" s="101" t="s">
        <v>308</v>
      </c>
      <c r="D112" s="101">
        <v>712</v>
      </c>
      <c r="E112" s="101"/>
      <c r="F112" s="131">
        <v>684</v>
      </c>
      <c r="G112" s="131">
        <v>114</v>
      </c>
      <c r="H112" s="101">
        <v>375930664</v>
      </c>
    </row>
    <row r="113" spans="1:8" x14ac:dyDescent="0.2">
      <c r="A113" s="175">
        <v>44685</v>
      </c>
      <c r="B113" s="101" t="s">
        <v>103</v>
      </c>
      <c r="C113" s="101" t="s">
        <v>311</v>
      </c>
      <c r="D113" s="101" t="s">
        <v>312</v>
      </c>
      <c r="E113" s="101"/>
      <c r="F113" s="131">
        <v>6.85</v>
      </c>
      <c r="G113" s="131">
        <v>1.1399999999999999</v>
      </c>
      <c r="H113" s="101" t="s">
        <v>340</v>
      </c>
    </row>
    <row r="114" spans="1:8" x14ac:dyDescent="0.2">
      <c r="A114" s="175">
        <v>44700</v>
      </c>
      <c r="B114" s="101" t="s">
        <v>103</v>
      </c>
      <c r="C114" s="101" t="s">
        <v>313</v>
      </c>
      <c r="D114" s="101" t="s">
        <v>314</v>
      </c>
      <c r="E114" s="101"/>
      <c r="F114" s="131">
        <v>332.88</v>
      </c>
      <c r="G114" s="131">
        <v>55.48</v>
      </c>
      <c r="H114" s="101" t="s">
        <v>340</v>
      </c>
    </row>
    <row r="115" spans="1:8" x14ac:dyDescent="0.2">
      <c r="A115" s="175">
        <v>44681</v>
      </c>
      <c r="B115" s="101" t="s">
        <v>138</v>
      </c>
      <c r="C115" s="101" t="s">
        <v>315</v>
      </c>
      <c r="D115" s="101">
        <v>14493</v>
      </c>
      <c r="E115" s="101"/>
      <c r="F115" s="131">
        <v>435.08</v>
      </c>
      <c r="G115" s="131">
        <v>72.52</v>
      </c>
      <c r="H115" s="101">
        <v>321943962</v>
      </c>
    </row>
    <row r="116" spans="1:8" x14ac:dyDescent="0.2">
      <c r="A116" s="175">
        <v>44690</v>
      </c>
      <c r="B116" s="101" t="s">
        <v>316</v>
      </c>
      <c r="C116" s="101" t="s">
        <v>307</v>
      </c>
      <c r="D116" s="101" t="s">
        <v>317</v>
      </c>
      <c r="E116" s="101"/>
      <c r="F116" s="131">
        <v>45</v>
      </c>
      <c r="G116" s="131">
        <v>7.5</v>
      </c>
      <c r="H116" s="101" t="s">
        <v>341</v>
      </c>
    </row>
    <row r="117" spans="1:8" x14ac:dyDescent="0.2">
      <c r="A117" s="175">
        <v>44708</v>
      </c>
      <c r="B117" s="101" t="s">
        <v>145</v>
      </c>
      <c r="C117" s="101" t="s">
        <v>318</v>
      </c>
      <c r="D117" s="101">
        <v>7573</v>
      </c>
      <c r="E117" s="101"/>
      <c r="F117" s="131">
        <v>1785.6</v>
      </c>
      <c r="G117" s="131">
        <v>297.60000000000002</v>
      </c>
      <c r="H117" s="101">
        <v>582552525</v>
      </c>
    </row>
    <row r="118" spans="1:8" x14ac:dyDescent="0.2">
      <c r="A118" s="175">
        <v>44711</v>
      </c>
      <c r="B118" s="101" t="s">
        <v>296</v>
      </c>
      <c r="C118" s="101" t="s">
        <v>319</v>
      </c>
      <c r="D118" s="101">
        <v>407824</v>
      </c>
      <c r="E118" s="101"/>
      <c r="F118" s="131">
        <v>72.42</v>
      </c>
      <c r="G118" s="131">
        <v>12.07</v>
      </c>
      <c r="H118" s="101" t="s">
        <v>342</v>
      </c>
    </row>
    <row r="119" spans="1:8" x14ac:dyDescent="0.2">
      <c r="A119" s="175">
        <v>44721</v>
      </c>
      <c r="B119" s="101" t="s">
        <v>145</v>
      </c>
      <c r="C119" s="101" t="s">
        <v>320</v>
      </c>
      <c r="D119" s="101">
        <v>7585</v>
      </c>
      <c r="E119" s="101"/>
      <c r="F119" s="131">
        <v>6030</v>
      </c>
      <c r="G119" s="131">
        <v>1005</v>
      </c>
      <c r="H119" s="101">
        <v>582552525</v>
      </c>
    </row>
    <row r="120" spans="1:8" x14ac:dyDescent="0.2">
      <c r="A120" s="175">
        <v>44721</v>
      </c>
      <c r="B120" s="101" t="s">
        <v>145</v>
      </c>
      <c r="C120" s="101" t="s">
        <v>321</v>
      </c>
      <c r="D120" s="101">
        <v>7583</v>
      </c>
      <c r="E120" s="101"/>
      <c r="F120" s="131">
        <v>14720.4</v>
      </c>
      <c r="G120" s="131">
        <v>2453.4</v>
      </c>
      <c r="H120" s="101">
        <v>582552525</v>
      </c>
    </row>
    <row r="121" spans="1:8" x14ac:dyDescent="0.2">
      <c r="A121" s="175">
        <v>44719</v>
      </c>
      <c r="B121" s="101" t="s">
        <v>322</v>
      </c>
      <c r="C121" s="101" t="s">
        <v>323</v>
      </c>
      <c r="D121" s="101">
        <v>729</v>
      </c>
      <c r="E121" s="101"/>
      <c r="F121" s="131">
        <v>552</v>
      </c>
      <c r="G121" s="131">
        <v>92</v>
      </c>
      <c r="H121" s="101">
        <v>375930664</v>
      </c>
    </row>
    <row r="122" spans="1:8" x14ac:dyDescent="0.2">
      <c r="A122" s="175">
        <v>44718</v>
      </c>
      <c r="B122" s="101" t="s">
        <v>121</v>
      </c>
      <c r="C122" s="101" t="s">
        <v>166</v>
      </c>
      <c r="D122" s="101">
        <v>19417</v>
      </c>
      <c r="E122" s="101"/>
      <c r="F122" s="131">
        <v>198</v>
      </c>
      <c r="G122" s="131">
        <v>33</v>
      </c>
      <c r="H122" s="101" t="s">
        <v>132</v>
      </c>
    </row>
    <row r="123" spans="1:8" x14ac:dyDescent="0.2">
      <c r="A123" s="175">
        <v>44713</v>
      </c>
      <c r="B123" s="101" t="s">
        <v>324</v>
      </c>
      <c r="C123" s="101" t="s">
        <v>325</v>
      </c>
      <c r="D123" s="101" t="s">
        <v>326</v>
      </c>
      <c r="E123" s="101"/>
      <c r="F123" s="131">
        <v>110.43</v>
      </c>
      <c r="G123" s="131">
        <v>2.5</v>
      </c>
      <c r="H123" s="101" t="s">
        <v>344</v>
      </c>
    </row>
    <row r="124" spans="1:8" x14ac:dyDescent="0.2">
      <c r="A124" s="175">
        <v>44712</v>
      </c>
      <c r="B124" s="101" t="s">
        <v>324</v>
      </c>
      <c r="C124" s="101" t="s">
        <v>325</v>
      </c>
      <c r="D124" s="101" t="s">
        <v>326</v>
      </c>
      <c r="E124" s="101"/>
      <c r="G124" s="131">
        <v>3.5</v>
      </c>
      <c r="H124" s="101" t="s">
        <v>343</v>
      </c>
    </row>
    <row r="125" spans="1:8" x14ac:dyDescent="0.2">
      <c r="A125" s="175">
        <v>44709</v>
      </c>
      <c r="B125" s="101" t="s">
        <v>324</v>
      </c>
      <c r="C125" s="101" t="s">
        <v>325</v>
      </c>
      <c r="D125" s="101" t="s">
        <v>326</v>
      </c>
      <c r="E125" s="101"/>
      <c r="F125" s="131"/>
      <c r="G125" s="131">
        <v>4.53</v>
      </c>
      <c r="H125" s="101">
        <v>547512245</v>
      </c>
    </row>
    <row r="126" spans="1:8" x14ac:dyDescent="0.2">
      <c r="A126" s="175">
        <v>44715</v>
      </c>
      <c r="B126" s="101" t="s">
        <v>324</v>
      </c>
      <c r="C126" s="101" t="s">
        <v>328</v>
      </c>
      <c r="D126" s="101" t="s">
        <v>327</v>
      </c>
      <c r="E126" s="101"/>
      <c r="F126" s="131">
        <v>7.59</v>
      </c>
      <c r="G126" s="131">
        <v>1.27</v>
      </c>
      <c r="H126" s="101" t="s">
        <v>118</v>
      </c>
    </row>
    <row r="127" spans="1:8" x14ac:dyDescent="0.2">
      <c r="A127" s="175">
        <v>44712</v>
      </c>
      <c r="B127" s="101" t="s">
        <v>138</v>
      </c>
      <c r="C127" s="101" t="s">
        <v>329</v>
      </c>
      <c r="D127" s="101">
        <v>14557</v>
      </c>
      <c r="E127" s="101"/>
      <c r="F127" s="131">
        <v>870.14</v>
      </c>
      <c r="G127" s="131">
        <v>145.02000000000001</v>
      </c>
      <c r="H127" s="101">
        <v>321943962</v>
      </c>
    </row>
    <row r="128" spans="1:8" x14ac:dyDescent="0.2">
      <c r="A128" s="175">
        <v>44685</v>
      </c>
      <c r="B128" s="101" t="s">
        <v>330</v>
      </c>
      <c r="C128" s="101" t="s">
        <v>331</v>
      </c>
      <c r="D128" s="101" t="s">
        <v>332</v>
      </c>
      <c r="E128" s="101"/>
      <c r="F128" s="131">
        <v>18.079999999999998</v>
      </c>
      <c r="G128" s="131">
        <v>0.51</v>
      </c>
      <c r="H128" s="101" t="s">
        <v>345</v>
      </c>
    </row>
    <row r="129" spans="1:8" x14ac:dyDescent="0.2">
      <c r="A129" s="175">
        <v>44720</v>
      </c>
      <c r="B129" s="101" t="s">
        <v>241</v>
      </c>
      <c r="C129" s="101" t="s">
        <v>334</v>
      </c>
      <c r="D129" s="101">
        <v>193723</v>
      </c>
      <c r="E129" s="101"/>
      <c r="F129" s="131">
        <v>47.09</v>
      </c>
      <c r="G129" s="131">
        <v>7.85</v>
      </c>
      <c r="H129" s="101">
        <v>322141611</v>
      </c>
    </row>
    <row r="130" spans="1:8" x14ac:dyDescent="0.2">
      <c r="A130" s="175">
        <v>44742</v>
      </c>
      <c r="B130" s="101" t="s">
        <v>138</v>
      </c>
      <c r="C130" s="101" t="s">
        <v>333</v>
      </c>
      <c r="D130" s="101">
        <v>14620</v>
      </c>
      <c r="E130" s="101"/>
      <c r="F130" s="131">
        <v>435.92</v>
      </c>
      <c r="G130" s="131">
        <v>72.66</v>
      </c>
      <c r="H130" s="101">
        <v>321943962</v>
      </c>
    </row>
    <row r="131" spans="1:8" x14ac:dyDescent="0.2">
      <c r="A131" s="175">
        <v>44767</v>
      </c>
      <c r="B131" s="101" t="s">
        <v>322</v>
      </c>
      <c r="C131" s="101" t="s">
        <v>335</v>
      </c>
      <c r="D131" s="101">
        <v>743</v>
      </c>
      <c r="E131" s="101"/>
      <c r="F131" s="131">
        <v>24</v>
      </c>
      <c r="G131" s="131">
        <v>4</v>
      </c>
      <c r="H131" s="101">
        <v>375930664</v>
      </c>
    </row>
    <row r="132" spans="1:8" x14ac:dyDescent="0.2">
      <c r="A132" s="121">
        <v>44773</v>
      </c>
      <c r="B132" s="155" t="s">
        <v>138</v>
      </c>
      <c r="C132" s="71" t="s">
        <v>337</v>
      </c>
      <c r="D132" s="176">
        <v>14684</v>
      </c>
      <c r="E132" s="7"/>
      <c r="F132" s="131">
        <v>435.92</v>
      </c>
      <c r="G132" s="131">
        <v>72.66</v>
      </c>
      <c r="H132" s="101">
        <v>321943962</v>
      </c>
    </row>
    <row r="133" spans="1:8" x14ac:dyDescent="0.2">
      <c r="G133" s="89">
        <f>SUM(G110:G132)</f>
        <v>4656.5300000000016</v>
      </c>
    </row>
    <row r="134" spans="1:8" x14ac:dyDescent="0.2">
      <c r="A134" s="121"/>
      <c r="B134" s="180" t="s">
        <v>377</v>
      </c>
      <c r="C134" s="101"/>
      <c r="D134" s="101"/>
      <c r="E134" s="101"/>
      <c r="F134" s="131"/>
      <c r="G134" s="131"/>
      <c r="H134" s="101"/>
    </row>
    <row r="135" spans="1:8" ht="48" x14ac:dyDescent="0.2">
      <c r="A135" s="87" t="s">
        <v>119</v>
      </c>
      <c r="B135" s="85" t="s">
        <v>109</v>
      </c>
      <c r="C135" s="85" t="s">
        <v>115</v>
      </c>
      <c r="D135" s="85" t="s">
        <v>90</v>
      </c>
      <c r="E135" s="87"/>
      <c r="F135" s="86" t="s">
        <v>120</v>
      </c>
      <c r="G135" s="86" t="s">
        <v>116</v>
      </c>
      <c r="H135" s="85" t="s">
        <v>117</v>
      </c>
    </row>
    <row r="136" spans="1:8" x14ac:dyDescent="0.2">
      <c r="A136" s="121">
        <v>44774</v>
      </c>
      <c r="B136" s="101" t="s">
        <v>322</v>
      </c>
      <c r="C136" s="101" t="s">
        <v>336</v>
      </c>
      <c r="D136" s="101">
        <v>750</v>
      </c>
      <c r="E136" s="101"/>
      <c r="F136" s="131">
        <v>48</v>
      </c>
      <c r="G136" s="131">
        <v>8</v>
      </c>
      <c r="H136" s="101">
        <v>375930664</v>
      </c>
    </row>
    <row r="137" spans="1:8" x14ac:dyDescent="0.2">
      <c r="A137" s="121">
        <v>44804</v>
      </c>
      <c r="B137" s="101" t="s">
        <v>138</v>
      </c>
      <c r="C137" s="101" t="s">
        <v>337</v>
      </c>
      <c r="D137" s="101">
        <v>14752</v>
      </c>
      <c r="E137" s="101"/>
      <c r="F137" s="131">
        <v>435.08</v>
      </c>
      <c r="G137" s="131">
        <v>72.52</v>
      </c>
      <c r="H137" s="101">
        <v>321943962</v>
      </c>
    </row>
    <row r="138" spans="1:8" x14ac:dyDescent="0.2">
      <c r="A138" s="121">
        <v>44813</v>
      </c>
      <c r="B138" s="101" t="s">
        <v>338</v>
      </c>
      <c r="C138" s="101" t="s">
        <v>350</v>
      </c>
      <c r="D138" s="101">
        <v>324605762</v>
      </c>
      <c r="E138" s="101"/>
      <c r="F138" s="131">
        <v>13.99</v>
      </c>
      <c r="G138" s="131">
        <v>2.33</v>
      </c>
      <c r="H138" s="101" t="s">
        <v>343</v>
      </c>
    </row>
    <row r="139" spans="1:8" x14ac:dyDescent="0.2">
      <c r="A139" s="121">
        <v>44813</v>
      </c>
      <c r="B139" s="101" t="s">
        <v>338</v>
      </c>
      <c r="C139" s="101" t="s">
        <v>349</v>
      </c>
      <c r="D139" s="101" t="s">
        <v>351</v>
      </c>
      <c r="E139" s="101"/>
      <c r="F139" s="131">
        <v>14.49</v>
      </c>
      <c r="G139" s="131">
        <v>2.42</v>
      </c>
      <c r="H139" s="101" t="s">
        <v>379</v>
      </c>
    </row>
    <row r="140" spans="1:8" x14ac:dyDescent="0.2">
      <c r="A140" s="121">
        <v>44820</v>
      </c>
      <c r="B140" s="101" t="s">
        <v>35</v>
      </c>
      <c r="C140" s="101" t="s">
        <v>347</v>
      </c>
      <c r="D140" s="101" t="s">
        <v>348</v>
      </c>
      <c r="E140" s="101"/>
      <c r="F140" s="131">
        <v>141.80000000000001</v>
      </c>
      <c r="G140" s="131">
        <v>0.8</v>
      </c>
      <c r="H140" s="101">
        <v>891752783</v>
      </c>
    </row>
    <row r="141" spans="1:8" x14ac:dyDescent="0.2">
      <c r="A141" s="121">
        <v>44820</v>
      </c>
      <c r="B141" s="101" t="s">
        <v>265</v>
      </c>
      <c r="C141" s="101" t="s">
        <v>354</v>
      </c>
      <c r="D141" s="101" t="s">
        <v>355</v>
      </c>
      <c r="E141" s="101"/>
      <c r="F141" s="131">
        <v>169.99</v>
      </c>
      <c r="G141" s="131">
        <v>28.33</v>
      </c>
      <c r="H141" s="101">
        <v>732249444</v>
      </c>
    </row>
    <row r="142" spans="1:8" x14ac:dyDescent="0.2">
      <c r="A142" s="121">
        <v>44824</v>
      </c>
      <c r="B142" s="101" t="s">
        <v>145</v>
      </c>
      <c r="C142" s="101" t="s">
        <v>384</v>
      </c>
      <c r="D142" s="101">
        <v>7720</v>
      </c>
      <c r="E142" s="101"/>
      <c r="F142" s="131">
        <v>360</v>
      </c>
      <c r="G142" s="131">
        <v>60</v>
      </c>
      <c r="H142" s="101">
        <v>582552525</v>
      </c>
    </row>
    <row r="143" spans="1:8" x14ac:dyDescent="0.2">
      <c r="A143" s="121">
        <v>44826</v>
      </c>
      <c r="B143" s="101" t="s">
        <v>103</v>
      </c>
      <c r="C143" s="101" t="s">
        <v>356</v>
      </c>
      <c r="D143" s="101">
        <v>365</v>
      </c>
      <c r="E143" s="101"/>
      <c r="F143" s="131">
        <v>111.3</v>
      </c>
      <c r="G143" s="131">
        <v>13.35</v>
      </c>
      <c r="H143" s="101">
        <v>660454836</v>
      </c>
    </row>
    <row r="144" spans="1:8" x14ac:dyDescent="0.2">
      <c r="A144" s="121">
        <v>44831</v>
      </c>
      <c r="B144" s="101" t="s">
        <v>181</v>
      </c>
      <c r="C144" s="101" t="s">
        <v>352</v>
      </c>
      <c r="D144" s="101">
        <v>313649</v>
      </c>
      <c r="E144" s="101"/>
      <c r="F144" s="131">
        <v>240</v>
      </c>
      <c r="G144" s="131">
        <v>40</v>
      </c>
      <c r="H144" s="101">
        <v>120431530</v>
      </c>
    </row>
    <row r="145" spans="1:8" x14ac:dyDescent="0.2">
      <c r="A145" s="121">
        <v>44834</v>
      </c>
      <c r="B145" s="101" t="s">
        <v>138</v>
      </c>
      <c r="C145" s="101" t="s">
        <v>353</v>
      </c>
      <c r="D145" s="101">
        <v>14816</v>
      </c>
      <c r="E145" s="101"/>
      <c r="F145" s="131">
        <v>435.08</v>
      </c>
      <c r="G145" s="131">
        <v>72.52</v>
      </c>
      <c r="H145" s="101">
        <v>321943962</v>
      </c>
    </row>
    <row r="146" spans="1:8" x14ac:dyDescent="0.2">
      <c r="A146" s="121">
        <v>44860</v>
      </c>
      <c r="B146" s="101" t="s">
        <v>105</v>
      </c>
      <c r="C146" s="101" t="s">
        <v>357</v>
      </c>
      <c r="D146" s="101">
        <v>31567</v>
      </c>
      <c r="E146" s="101"/>
      <c r="F146" s="131">
        <v>60</v>
      </c>
      <c r="G146" s="131">
        <v>10</v>
      </c>
      <c r="H146" s="101">
        <v>744541532</v>
      </c>
    </row>
    <row r="147" spans="1:8" x14ac:dyDescent="0.2">
      <c r="A147" s="121">
        <v>44875</v>
      </c>
      <c r="B147" s="101" t="s">
        <v>103</v>
      </c>
      <c r="C147" s="101" t="s">
        <v>168</v>
      </c>
      <c r="D147" s="101" t="s">
        <v>259</v>
      </c>
      <c r="E147" s="101"/>
      <c r="F147" s="131">
        <v>95.88</v>
      </c>
      <c r="G147" s="131">
        <v>15.98</v>
      </c>
      <c r="H147" s="101" t="s">
        <v>197</v>
      </c>
    </row>
    <row r="148" spans="1:8" x14ac:dyDescent="0.2">
      <c r="A148" s="121">
        <v>44887</v>
      </c>
      <c r="B148" s="101" t="s">
        <v>359</v>
      </c>
      <c r="C148" s="101" t="s">
        <v>358</v>
      </c>
      <c r="D148" s="101">
        <v>15428</v>
      </c>
      <c r="E148" s="101"/>
      <c r="F148" s="131">
        <v>314.39999999999998</v>
      </c>
      <c r="G148" s="131">
        <v>52.4</v>
      </c>
      <c r="H148" s="101">
        <v>992229981</v>
      </c>
    </row>
    <row r="149" spans="1:8" x14ac:dyDescent="0.2">
      <c r="A149" s="121">
        <v>44890</v>
      </c>
      <c r="B149" s="101" t="s">
        <v>103</v>
      </c>
      <c r="C149" s="101" t="s">
        <v>362</v>
      </c>
      <c r="D149" s="101" t="s">
        <v>363</v>
      </c>
      <c r="E149" s="101"/>
      <c r="F149" s="131">
        <v>8.99</v>
      </c>
      <c r="G149" s="131">
        <v>1.5</v>
      </c>
      <c r="H149" s="101" t="s">
        <v>118</v>
      </c>
    </row>
    <row r="150" spans="1:8" x14ac:dyDescent="0.2">
      <c r="A150" s="121">
        <v>44895</v>
      </c>
      <c r="B150" s="101" t="s">
        <v>360</v>
      </c>
      <c r="C150" s="101" t="s">
        <v>274</v>
      </c>
      <c r="D150" s="101">
        <v>31564</v>
      </c>
      <c r="E150" s="101"/>
      <c r="F150" s="131">
        <v>576</v>
      </c>
      <c r="G150" s="131">
        <v>96</v>
      </c>
      <c r="H150" s="101">
        <v>744541532</v>
      </c>
    </row>
    <row r="151" spans="1:8" x14ac:dyDescent="0.2">
      <c r="A151" s="121">
        <v>44895</v>
      </c>
      <c r="B151" s="101" t="s">
        <v>322</v>
      </c>
      <c r="C151" s="101" t="s">
        <v>361</v>
      </c>
      <c r="D151" s="101">
        <v>792</v>
      </c>
      <c r="E151" s="101"/>
      <c r="F151" s="131">
        <v>1560</v>
      </c>
      <c r="G151" s="131">
        <v>260</v>
      </c>
      <c r="H151" s="101">
        <v>375930664</v>
      </c>
    </row>
    <row r="152" spans="1:8" x14ac:dyDescent="0.2">
      <c r="A152" s="121">
        <v>44895</v>
      </c>
      <c r="B152" s="101" t="s">
        <v>138</v>
      </c>
      <c r="C152" s="101" t="s">
        <v>371</v>
      </c>
      <c r="D152" s="101">
        <v>14947</v>
      </c>
      <c r="E152" s="101"/>
      <c r="F152" s="131">
        <v>435.08</v>
      </c>
      <c r="G152" s="131">
        <v>72.52</v>
      </c>
      <c r="H152" s="101">
        <v>321943962</v>
      </c>
    </row>
    <row r="153" spans="1:8" x14ac:dyDescent="0.2">
      <c r="A153" s="121">
        <v>44902</v>
      </c>
      <c r="B153" s="101" t="s">
        <v>271</v>
      </c>
      <c r="C153" s="101" t="s">
        <v>272</v>
      </c>
      <c r="D153" s="101" t="s">
        <v>364</v>
      </c>
      <c r="E153" s="101"/>
      <c r="F153" s="131">
        <v>150</v>
      </c>
      <c r="G153" s="131">
        <v>25</v>
      </c>
      <c r="H153" s="101">
        <v>376832713</v>
      </c>
    </row>
    <row r="154" spans="1:8" x14ac:dyDescent="0.2">
      <c r="A154" s="121">
        <v>44906</v>
      </c>
      <c r="B154" s="101" t="s">
        <v>241</v>
      </c>
      <c r="C154" s="101" t="s">
        <v>365</v>
      </c>
      <c r="D154" s="101">
        <v>2840910</v>
      </c>
      <c r="E154" s="101"/>
      <c r="F154" s="131">
        <v>42.99</v>
      </c>
      <c r="G154" s="131">
        <v>7.16</v>
      </c>
      <c r="H154" s="101" t="s">
        <v>294</v>
      </c>
    </row>
    <row r="155" spans="1:8" x14ac:dyDescent="0.2">
      <c r="A155" s="121">
        <v>44930</v>
      </c>
      <c r="B155" s="101" t="s">
        <v>121</v>
      </c>
      <c r="C155" s="101" t="s">
        <v>369</v>
      </c>
      <c r="D155" s="101">
        <v>50977</v>
      </c>
      <c r="E155" s="101"/>
      <c r="F155" s="131">
        <v>102</v>
      </c>
      <c r="G155" s="131">
        <v>17</v>
      </c>
      <c r="H155" s="101">
        <v>899727928</v>
      </c>
    </row>
    <row r="156" spans="1:8" x14ac:dyDescent="0.2">
      <c r="A156" s="121">
        <v>44963</v>
      </c>
      <c r="B156" s="101" t="s">
        <v>145</v>
      </c>
      <c r="C156" s="101" t="s">
        <v>370</v>
      </c>
      <c r="D156" s="101">
        <v>7868</v>
      </c>
      <c r="E156" s="101"/>
      <c r="F156" s="131">
        <v>1260</v>
      </c>
      <c r="G156" s="131">
        <v>210</v>
      </c>
      <c r="H156" s="101">
        <v>582552525</v>
      </c>
    </row>
    <row r="157" spans="1:8" x14ac:dyDescent="0.2">
      <c r="A157" s="121">
        <v>44966</v>
      </c>
      <c r="B157" s="101" t="s">
        <v>366</v>
      </c>
      <c r="C157" s="101" t="s">
        <v>367</v>
      </c>
      <c r="D157" s="101" t="s">
        <v>368</v>
      </c>
      <c r="E157" s="101"/>
      <c r="F157" s="131">
        <v>286.2</v>
      </c>
      <c r="G157" s="131">
        <v>47.7</v>
      </c>
      <c r="H157" s="101">
        <v>831579317</v>
      </c>
    </row>
    <row r="158" spans="1:8" x14ac:dyDescent="0.2">
      <c r="A158" s="121">
        <v>44981</v>
      </c>
      <c r="B158" s="101" t="s">
        <v>121</v>
      </c>
      <c r="C158" s="101" t="s">
        <v>372</v>
      </c>
      <c r="D158" s="101">
        <v>51008</v>
      </c>
      <c r="E158" s="101"/>
      <c r="F158" s="131">
        <v>60</v>
      </c>
      <c r="G158" s="131">
        <v>10</v>
      </c>
      <c r="H158" s="101">
        <v>899727928</v>
      </c>
    </row>
    <row r="159" spans="1:8" x14ac:dyDescent="0.2">
      <c r="A159" s="121">
        <v>44985</v>
      </c>
      <c r="B159" s="101" t="s">
        <v>103</v>
      </c>
      <c r="C159" s="101" t="s">
        <v>373</v>
      </c>
      <c r="D159" s="101" t="s">
        <v>374</v>
      </c>
      <c r="E159" s="101"/>
      <c r="F159" s="131">
        <v>55.04</v>
      </c>
      <c r="G159" s="131">
        <v>9.17</v>
      </c>
      <c r="H159" s="101">
        <v>385529654</v>
      </c>
    </row>
    <row r="160" spans="1:8" x14ac:dyDescent="0.2">
      <c r="A160" s="121">
        <v>44985</v>
      </c>
      <c r="B160" s="101" t="s">
        <v>138</v>
      </c>
      <c r="C160" s="101" t="s">
        <v>375</v>
      </c>
      <c r="D160" s="101">
        <v>15086</v>
      </c>
      <c r="E160" s="101"/>
      <c r="F160" s="131">
        <v>435.08</v>
      </c>
      <c r="G160" s="131">
        <v>75.52</v>
      </c>
      <c r="H160" s="101">
        <v>321943962</v>
      </c>
    </row>
    <row r="161" spans="1:8" x14ac:dyDescent="0.2">
      <c r="A161" s="121">
        <v>45000</v>
      </c>
      <c r="B161" s="101" t="s">
        <v>103</v>
      </c>
      <c r="C161" s="101" t="s">
        <v>376</v>
      </c>
      <c r="D161" s="101">
        <v>6122889059</v>
      </c>
      <c r="E161" s="101"/>
      <c r="F161" s="131">
        <v>78.44</v>
      </c>
      <c r="G161" s="131">
        <v>13.08</v>
      </c>
      <c r="H161" s="101" t="s">
        <v>380</v>
      </c>
    </row>
    <row r="162" spans="1:8" x14ac:dyDescent="0.2">
      <c r="A162" s="121">
        <v>44989</v>
      </c>
      <c r="B162" s="101" t="s">
        <v>241</v>
      </c>
      <c r="C162" s="101" t="s">
        <v>381</v>
      </c>
      <c r="D162" s="71" t="s">
        <v>259</v>
      </c>
      <c r="E162" s="101"/>
      <c r="F162" s="131">
        <v>19.5</v>
      </c>
      <c r="G162" s="131">
        <v>3.25</v>
      </c>
      <c r="H162" s="101">
        <v>233112755</v>
      </c>
    </row>
    <row r="163" spans="1:8" x14ac:dyDescent="0.2">
      <c r="A163" s="121">
        <v>45003</v>
      </c>
      <c r="B163" s="101" t="s">
        <v>241</v>
      </c>
      <c r="C163" s="101" t="s">
        <v>382</v>
      </c>
      <c r="D163" s="71">
        <v>3000061699</v>
      </c>
      <c r="E163" s="101"/>
      <c r="F163" s="131">
        <v>72.09</v>
      </c>
      <c r="G163" s="131">
        <v>12.02</v>
      </c>
      <c r="H163" s="101">
        <v>584635017</v>
      </c>
    </row>
    <row r="164" spans="1:8" x14ac:dyDescent="0.2">
      <c r="A164" s="121">
        <v>44996</v>
      </c>
      <c r="B164" s="101" t="s">
        <v>241</v>
      </c>
      <c r="C164" s="101" t="s">
        <v>383</v>
      </c>
      <c r="D164" s="71" t="s">
        <v>259</v>
      </c>
      <c r="E164" s="101"/>
      <c r="F164" s="131">
        <v>87</v>
      </c>
      <c r="G164" s="131">
        <v>14.5</v>
      </c>
      <c r="H164" s="101">
        <v>233112755</v>
      </c>
    </row>
    <row r="165" spans="1:8" x14ac:dyDescent="0.2">
      <c r="A165" s="121">
        <v>45016</v>
      </c>
      <c r="B165" s="101" t="s">
        <v>101</v>
      </c>
      <c r="C165" s="101" t="s">
        <v>385</v>
      </c>
      <c r="D165" s="101" t="s">
        <v>386</v>
      </c>
      <c r="E165" s="101"/>
      <c r="F165" s="131">
        <v>389.37</v>
      </c>
      <c r="G165" s="131">
        <v>64.89</v>
      </c>
      <c r="H165" s="101">
        <v>193548138</v>
      </c>
    </row>
    <row r="166" spans="1:8" x14ac:dyDescent="0.2">
      <c r="A166" s="121"/>
      <c r="B166" s="101"/>
      <c r="C166" s="101"/>
      <c r="D166" s="101"/>
      <c r="E166" s="101"/>
      <c r="F166" s="131"/>
      <c r="G166" s="131"/>
      <c r="H166" s="101"/>
    </row>
    <row r="167" spans="1:8" x14ac:dyDescent="0.2">
      <c r="A167" s="121"/>
      <c r="B167" s="101"/>
      <c r="C167" s="101"/>
      <c r="D167" s="101"/>
      <c r="E167" s="101"/>
      <c r="F167" s="131"/>
      <c r="G167" s="131"/>
      <c r="H167" s="101"/>
    </row>
    <row r="168" spans="1:8" x14ac:dyDescent="0.2">
      <c r="A168" s="121"/>
      <c r="B168" s="101"/>
      <c r="C168" s="101"/>
      <c r="D168" s="101"/>
      <c r="E168" s="101"/>
      <c r="F168" s="131"/>
      <c r="G168" s="131">
        <f>SUM(G136:G167)</f>
        <v>1317.96</v>
      </c>
      <c r="H168" s="101"/>
    </row>
    <row r="170" spans="1:8" x14ac:dyDescent="0.2">
      <c r="A170" s="121"/>
      <c r="B170" s="180" t="s">
        <v>606</v>
      </c>
      <c r="C170" s="101"/>
      <c r="D170" s="101"/>
      <c r="E170" s="101"/>
      <c r="F170" s="131"/>
      <c r="G170" s="131"/>
      <c r="H170" s="101"/>
    </row>
    <row r="171" spans="1:8" ht="48" x14ac:dyDescent="0.2">
      <c r="A171" s="87" t="s">
        <v>119</v>
      </c>
      <c r="B171" s="85" t="s">
        <v>109</v>
      </c>
      <c r="C171" s="85" t="s">
        <v>115</v>
      </c>
      <c r="D171" s="85" t="s">
        <v>90</v>
      </c>
      <c r="E171" s="87"/>
      <c r="F171" s="86" t="s">
        <v>120</v>
      </c>
      <c r="G171" s="86" t="s">
        <v>116</v>
      </c>
      <c r="H171" s="85" t="s">
        <v>117</v>
      </c>
    </row>
    <row r="172" spans="1:8" x14ac:dyDescent="0.2">
      <c r="A172" s="121">
        <v>45030</v>
      </c>
      <c r="B172" s="101" t="s">
        <v>103</v>
      </c>
      <c r="C172" s="101" t="s">
        <v>408</v>
      </c>
      <c r="D172" s="101" t="s">
        <v>409</v>
      </c>
      <c r="E172" s="101"/>
      <c r="F172" s="131">
        <v>704.95</v>
      </c>
      <c r="G172" s="131">
        <v>117.49</v>
      </c>
      <c r="H172" s="101">
        <v>834366812</v>
      </c>
    </row>
    <row r="173" spans="1:8" x14ac:dyDescent="0.2">
      <c r="A173" s="121">
        <v>45033</v>
      </c>
      <c r="B173" s="101" t="s">
        <v>405</v>
      </c>
      <c r="C173" s="101" t="s">
        <v>412</v>
      </c>
      <c r="D173" s="101">
        <v>213208</v>
      </c>
      <c r="E173" s="101"/>
      <c r="F173" s="131">
        <v>720</v>
      </c>
      <c r="G173" s="131">
        <v>120</v>
      </c>
      <c r="H173" s="101" t="s">
        <v>590</v>
      </c>
    </row>
    <row r="174" spans="1:8" x14ac:dyDescent="0.2">
      <c r="A174" s="121">
        <v>45034</v>
      </c>
      <c r="B174" s="101" t="s">
        <v>405</v>
      </c>
      <c r="C174" s="101" t="s">
        <v>415</v>
      </c>
      <c r="D174" s="101">
        <v>213213</v>
      </c>
      <c r="E174" s="101"/>
      <c r="F174" s="131">
        <v>94.92</v>
      </c>
      <c r="G174" s="131">
        <v>15.82</v>
      </c>
      <c r="H174" s="101" t="s">
        <v>590</v>
      </c>
    </row>
    <row r="175" spans="1:8" x14ac:dyDescent="0.2">
      <c r="A175" s="121">
        <v>45034</v>
      </c>
      <c r="B175" s="101" t="s">
        <v>296</v>
      </c>
      <c r="C175" s="101" t="s">
        <v>445</v>
      </c>
      <c r="D175" s="101">
        <v>151216</v>
      </c>
      <c r="E175" s="101"/>
      <c r="F175" s="131">
        <v>103.38</v>
      </c>
      <c r="G175" s="131">
        <v>17.23</v>
      </c>
      <c r="H175" s="101" t="s">
        <v>589</v>
      </c>
    </row>
    <row r="176" spans="1:8" x14ac:dyDescent="0.2">
      <c r="A176" s="121">
        <v>45035</v>
      </c>
      <c r="B176" s="101" t="s">
        <v>121</v>
      </c>
      <c r="C176" s="101" t="s">
        <v>437</v>
      </c>
      <c r="D176" s="101">
        <v>51033</v>
      </c>
      <c r="E176" s="101"/>
      <c r="F176" s="131">
        <v>96</v>
      </c>
      <c r="G176" s="131">
        <v>16</v>
      </c>
      <c r="H176" s="101">
        <v>899727928</v>
      </c>
    </row>
    <row r="177" spans="1:8" x14ac:dyDescent="0.2">
      <c r="A177" s="121">
        <v>45043</v>
      </c>
      <c r="B177" s="101" t="s">
        <v>121</v>
      </c>
      <c r="C177" s="101" t="s">
        <v>166</v>
      </c>
      <c r="D177" s="101">
        <v>21093</v>
      </c>
      <c r="E177" s="101"/>
      <c r="F177" s="131">
        <v>252</v>
      </c>
      <c r="G177" s="131">
        <v>42</v>
      </c>
      <c r="H177" s="101">
        <v>899727928</v>
      </c>
    </row>
    <row r="178" spans="1:8" x14ac:dyDescent="0.2">
      <c r="A178" s="121">
        <v>45046</v>
      </c>
      <c r="B178" s="101" t="s">
        <v>443</v>
      </c>
      <c r="C178" s="101" t="s">
        <v>444</v>
      </c>
      <c r="D178" s="101">
        <v>15194</v>
      </c>
      <c r="E178" s="101"/>
      <c r="F178" s="131">
        <v>907.2</v>
      </c>
      <c r="G178" s="131">
        <v>151.19999999999999</v>
      </c>
      <c r="H178" s="101">
        <v>321943962</v>
      </c>
    </row>
    <row r="179" spans="1:8" x14ac:dyDescent="0.2">
      <c r="A179" s="121">
        <v>45055</v>
      </c>
      <c r="B179" s="101" t="s">
        <v>440</v>
      </c>
      <c r="C179" s="101" t="s">
        <v>441</v>
      </c>
      <c r="D179" s="101">
        <v>26025982</v>
      </c>
      <c r="E179" s="101"/>
      <c r="F179" s="131">
        <v>45</v>
      </c>
      <c r="G179" s="131">
        <v>7.5</v>
      </c>
      <c r="H179" s="101" t="s">
        <v>341</v>
      </c>
    </row>
    <row r="180" spans="1:8" x14ac:dyDescent="0.2">
      <c r="A180" s="121">
        <v>45068</v>
      </c>
      <c r="B180" s="101" t="s">
        <v>103</v>
      </c>
      <c r="C180" s="101" t="s">
        <v>447</v>
      </c>
      <c r="D180" s="101">
        <v>1267564</v>
      </c>
      <c r="E180" s="101"/>
      <c r="F180" s="131">
        <v>143.88</v>
      </c>
      <c r="G180" s="131">
        <v>23.98</v>
      </c>
      <c r="H180" s="101">
        <v>887750270</v>
      </c>
    </row>
    <row r="181" spans="1:8" x14ac:dyDescent="0.2">
      <c r="A181" s="121">
        <v>45069</v>
      </c>
      <c r="B181" s="101" t="s">
        <v>121</v>
      </c>
      <c r="C181" s="101" t="s">
        <v>471</v>
      </c>
      <c r="D181" s="101">
        <v>51094</v>
      </c>
      <c r="E181" s="101"/>
      <c r="F181" s="131">
        <v>54</v>
      </c>
      <c r="G181" s="131">
        <v>9</v>
      </c>
      <c r="H181" s="101">
        <v>899727928</v>
      </c>
    </row>
    <row r="182" spans="1:8" x14ac:dyDescent="0.2">
      <c r="A182" s="121">
        <v>45077</v>
      </c>
      <c r="B182" s="101" t="s">
        <v>449</v>
      </c>
      <c r="C182" s="101" t="s">
        <v>450</v>
      </c>
      <c r="D182" s="101" t="s">
        <v>259</v>
      </c>
      <c r="E182" s="101"/>
      <c r="F182" s="131">
        <v>64.900000000000006</v>
      </c>
      <c r="G182" s="131">
        <v>11.65</v>
      </c>
      <c r="H182" s="101" t="s">
        <v>342</v>
      </c>
    </row>
    <row r="183" spans="1:8" x14ac:dyDescent="0.2">
      <c r="A183" s="121">
        <v>45077</v>
      </c>
      <c r="B183" s="101" t="s">
        <v>443</v>
      </c>
      <c r="C183" s="101" t="s">
        <v>453</v>
      </c>
      <c r="D183" s="101">
        <v>15259</v>
      </c>
      <c r="E183" s="101"/>
      <c r="F183" s="131">
        <v>907.2</v>
      </c>
      <c r="G183" s="131">
        <v>151.19999999999999</v>
      </c>
      <c r="H183" s="101">
        <v>321943962</v>
      </c>
    </row>
    <row r="184" spans="1:8" x14ac:dyDescent="0.2">
      <c r="A184" s="121">
        <v>45096</v>
      </c>
      <c r="B184" s="101" t="s">
        <v>103</v>
      </c>
      <c r="C184" s="101" t="s">
        <v>460</v>
      </c>
      <c r="D184" s="101" t="s">
        <v>461</v>
      </c>
      <c r="E184" s="101"/>
      <c r="F184" s="131">
        <v>75.989999999999995</v>
      </c>
      <c r="G184" s="131">
        <v>12.67</v>
      </c>
      <c r="H184" s="101" t="s">
        <v>588</v>
      </c>
    </row>
    <row r="185" spans="1:8" x14ac:dyDescent="0.2">
      <c r="A185" s="121">
        <v>45098</v>
      </c>
      <c r="B185" s="101" t="s">
        <v>103</v>
      </c>
      <c r="C185" s="101" t="s">
        <v>459</v>
      </c>
      <c r="D185" s="101">
        <v>6896</v>
      </c>
      <c r="E185" s="101"/>
      <c r="F185" s="131">
        <v>720</v>
      </c>
      <c r="G185" s="131">
        <v>120</v>
      </c>
      <c r="H185" s="101">
        <v>747363902</v>
      </c>
    </row>
    <row r="186" spans="1:8" x14ac:dyDescent="0.2">
      <c r="A186" s="121">
        <v>45107</v>
      </c>
      <c r="B186" s="101" t="s">
        <v>443</v>
      </c>
      <c r="C186" s="101" t="s">
        <v>465</v>
      </c>
      <c r="D186" s="101">
        <v>15310</v>
      </c>
      <c r="E186" s="101"/>
      <c r="F186" s="131">
        <v>453.6</v>
      </c>
      <c r="G186" s="131">
        <v>75.599999999999994</v>
      </c>
      <c r="H186" s="101">
        <v>321943962</v>
      </c>
    </row>
    <row r="187" spans="1:8" x14ac:dyDescent="0.2">
      <c r="A187" s="121">
        <v>45138</v>
      </c>
      <c r="B187" s="101" t="s">
        <v>443</v>
      </c>
      <c r="C187" s="101" t="s">
        <v>475</v>
      </c>
      <c r="D187" s="101">
        <v>15376</v>
      </c>
      <c r="E187" s="101"/>
      <c r="F187" s="131">
        <v>453.6</v>
      </c>
      <c r="G187" s="131">
        <v>75.599999999999994</v>
      </c>
      <c r="H187" s="101">
        <v>321943962</v>
      </c>
    </row>
    <row r="188" spans="1:8" x14ac:dyDescent="0.2">
      <c r="A188" s="121">
        <v>45168</v>
      </c>
      <c r="B188" s="101" t="s">
        <v>181</v>
      </c>
      <c r="C188" s="101" t="s">
        <v>483</v>
      </c>
      <c r="D188" s="101">
        <v>319548</v>
      </c>
      <c r="E188" s="101"/>
      <c r="F188" s="131">
        <v>378</v>
      </c>
      <c r="G188" s="131">
        <v>63</v>
      </c>
      <c r="H188" s="101">
        <v>120431530</v>
      </c>
    </row>
    <row r="189" spans="1:8" x14ac:dyDescent="0.2">
      <c r="A189" s="121">
        <v>45169</v>
      </c>
      <c r="B189" s="101" t="s">
        <v>443</v>
      </c>
      <c r="C189" s="101" t="s">
        <v>500</v>
      </c>
      <c r="D189" s="101">
        <v>15443</v>
      </c>
      <c r="E189" s="101"/>
      <c r="F189" s="131">
        <v>453.6</v>
      </c>
      <c r="G189" s="131">
        <v>75.599999999999994</v>
      </c>
      <c r="H189" s="101">
        <v>321943962</v>
      </c>
    </row>
    <row r="190" spans="1:8" x14ac:dyDescent="0.2">
      <c r="A190" s="121">
        <v>45180</v>
      </c>
      <c r="B190" s="101" t="s">
        <v>103</v>
      </c>
      <c r="C190" s="101" t="s">
        <v>447</v>
      </c>
      <c r="D190" s="101" t="s">
        <v>496</v>
      </c>
      <c r="E190" s="101"/>
      <c r="F190" s="131">
        <v>71.94</v>
      </c>
      <c r="G190" s="131">
        <v>11.99</v>
      </c>
      <c r="H190" s="101">
        <v>887750270</v>
      </c>
    </row>
    <row r="191" spans="1:8" x14ac:dyDescent="0.2">
      <c r="A191" s="121">
        <v>45181</v>
      </c>
      <c r="B191" s="101" t="s">
        <v>513</v>
      </c>
      <c r="C191" s="101" t="s">
        <v>563</v>
      </c>
      <c r="D191" s="101" t="s">
        <v>332</v>
      </c>
      <c r="E191" s="101"/>
      <c r="F191" s="131">
        <v>80.83</v>
      </c>
      <c r="G191" s="131">
        <v>2</v>
      </c>
      <c r="H191" s="101" t="s">
        <v>586</v>
      </c>
    </row>
    <row r="192" spans="1:8" x14ac:dyDescent="0.2">
      <c r="A192" s="121">
        <v>45183</v>
      </c>
      <c r="B192" s="101" t="s">
        <v>513</v>
      </c>
      <c r="C192" s="101" t="s">
        <v>562</v>
      </c>
      <c r="D192" s="101" t="s">
        <v>332</v>
      </c>
      <c r="E192" s="101"/>
      <c r="F192" s="131">
        <v>8.99</v>
      </c>
      <c r="G192" s="131">
        <v>1.5</v>
      </c>
      <c r="H192" s="101" t="s">
        <v>343</v>
      </c>
    </row>
    <row r="193" spans="1:8" x14ac:dyDescent="0.2">
      <c r="A193" s="121">
        <v>45183</v>
      </c>
      <c r="B193" s="101" t="s">
        <v>513</v>
      </c>
      <c r="C193" s="101" t="s">
        <v>562</v>
      </c>
      <c r="D193" s="101" t="s">
        <v>332</v>
      </c>
      <c r="E193" s="101"/>
      <c r="F193" s="131">
        <v>9.99</v>
      </c>
      <c r="G193" s="131">
        <v>1.67</v>
      </c>
      <c r="H193" s="101" t="s">
        <v>343</v>
      </c>
    </row>
    <row r="194" spans="1:8" x14ac:dyDescent="0.2">
      <c r="A194" s="121">
        <v>45183</v>
      </c>
      <c r="B194" s="101" t="s">
        <v>513</v>
      </c>
      <c r="C194" s="101" t="s">
        <v>562</v>
      </c>
      <c r="D194" s="101" t="s">
        <v>332</v>
      </c>
      <c r="E194" s="101"/>
      <c r="F194" s="131">
        <v>5.44</v>
      </c>
      <c r="G194" s="131">
        <v>0.91</v>
      </c>
      <c r="H194" s="101" t="s">
        <v>587</v>
      </c>
    </row>
    <row r="195" spans="1:8" x14ac:dyDescent="0.2">
      <c r="A195" s="121">
        <v>45187</v>
      </c>
      <c r="B195" s="101" t="s">
        <v>145</v>
      </c>
      <c r="C195" s="101" t="s">
        <v>478</v>
      </c>
      <c r="D195" s="101">
        <v>8181</v>
      </c>
      <c r="E195" s="101"/>
      <c r="F195" s="131">
        <v>384</v>
      </c>
      <c r="G195" s="131">
        <v>64</v>
      </c>
      <c r="H195" s="101">
        <v>582552525</v>
      </c>
    </row>
    <row r="196" spans="1:8" x14ac:dyDescent="0.2">
      <c r="A196" s="121">
        <v>45199</v>
      </c>
      <c r="B196" s="101" t="s">
        <v>443</v>
      </c>
      <c r="C196" s="101" t="s">
        <v>558</v>
      </c>
      <c r="D196" s="101">
        <v>15507</v>
      </c>
      <c r="E196" s="101"/>
      <c r="F196" s="131">
        <v>597.6</v>
      </c>
      <c r="G196" s="131">
        <v>99.6</v>
      </c>
      <c r="H196" s="101">
        <v>321943962</v>
      </c>
    </row>
    <row r="197" spans="1:8" x14ac:dyDescent="0.2">
      <c r="A197" s="121">
        <v>45222</v>
      </c>
      <c r="B197" s="101" t="s">
        <v>396</v>
      </c>
      <c r="C197" s="101" t="s">
        <v>519</v>
      </c>
      <c r="D197" s="101" t="s">
        <v>332</v>
      </c>
      <c r="E197" s="101"/>
      <c r="F197" s="131">
        <v>103.57</v>
      </c>
      <c r="G197" s="131">
        <v>17.260000000000002</v>
      </c>
      <c r="H197" s="101" t="s">
        <v>342</v>
      </c>
    </row>
    <row r="198" spans="1:8" x14ac:dyDescent="0.2">
      <c r="A198" s="121">
        <v>45226</v>
      </c>
      <c r="B198" s="101" t="s">
        <v>322</v>
      </c>
      <c r="C198" s="101" t="s">
        <v>520</v>
      </c>
      <c r="D198" s="101">
        <v>897</v>
      </c>
      <c r="E198" s="101"/>
      <c r="F198" s="131">
        <v>1020</v>
      </c>
      <c r="G198" s="131">
        <v>170</v>
      </c>
      <c r="H198" s="101">
        <v>375930664</v>
      </c>
    </row>
    <row r="199" spans="1:8" x14ac:dyDescent="0.2">
      <c r="A199" s="121">
        <v>45226</v>
      </c>
      <c r="B199" s="101" t="s">
        <v>521</v>
      </c>
      <c r="C199" s="101" t="s">
        <v>522</v>
      </c>
      <c r="D199" s="101">
        <v>32286</v>
      </c>
      <c r="E199" s="101"/>
      <c r="F199" s="131">
        <v>210</v>
      </c>
      <c r="G199" s="131">
        <v>35</v>
      </c>
      <c r="H199" s="101" t="s">
        <v>209</v>
      </c>
    </row>
    <row r="200" spans="1:8" x14ac:dyDescent="0.2">
      <c r="A200" s="121">
        <v>45230</v>
      </c>
      <c r="B200" s="101" t="s">
        <v>443</v>
      </c>
      <c r="C200" s="101" t="s">
        <v>559</v>
      </c>
      <c r="D200" s="101">
        <v>15597</v>
      </c>
      <c r="E200" s="101"/>
      <c r="F200" s="131">
        <v>453.6</v>
      </c>
      <c r="G200" s="131">
        <v>75.599999999999994</v>
      </c>
      <c r="H200" s="101">
        <v>321943962</v>
      </c>
    </row>
    <row r="201" spans="1:8" x14ac:dyDescent="0.2">
      <c r="A201" s="121">
        <v>45231</v>
      </c>
      <c r="B201" s="101" t="s">
        <v>145</v>
      </c>
      <c r="C201" s="101" t="s">
        <v>515</v>
      </c>
      <c r="D201" s="101">
        <v>8229</v>
      </c>
      <c r="E201" s="101"/>
      <c r="F201" s="131">
        <v>13668</v>
      </c>
      <c r="G201" s="131">
        <v>2278</v>
      </c>
      <c r="H201" s="101">
        <v>582552525</v>
      </c>
    </row>
    <row r="202" spans="1:8" x14ac:dyDescent="0.2">
      <c r="A202" s="121">
        <v>45236</v>
      </c>
      <c r="B202" s="101" t="s">
        <v>103</v>
      </c>
      <c r="C202" s="101" t="s">
        <v>541</v>
      </c>
      <c r="D202" s="101" t="s">
        <v>332</v>
      </c>
      <c r="E202" s="101"/>
      <c r="F202" s="131">
        <v>33.97</v>
      </c>
      <c r="G202" s="131">
        <v>2.82</v>
      </c>
      <c r="H202" s="101" t="s">
        <v>585</v>
      </c>
    </row>
    <row r="203" spans="1:8" x14ac:dyDescent="0.2">
      <c r="A203" s="121">
        <v>45236</v>
      </c>
      <c r="B203" s="101" t="s">
        <v>552</v>
      </c>
      <c r="C203" s="101" t="s">
        <v>541</v>
      </c>
      <c r="D203" s="102" t="s">
        <v>332</v>
      </c>
      <c r="E203" s="101"/>
      <c r="F203" s="131">
        <v>7.85</v>
      </c>
      <c r="G203" s="131">
        <v>1.31</v>
      </c>
      <c r="H203" s="101" t="s">
        <v>583</v>
      </c>
    </row>
    <row r="204" spans="1:8" x14ac:dyDescent="0.2">
      <c r="A204" s="121">
        <v>45237</v>
      </c>
      <c r="B204" s="101" t="s">
        <v>271</v>
      </c>
      <c r="C204" s="101" t="s">
        <v>539</v>
      </c>
      <c r="D204" s="101">
        <v>7112023</v>
      </c>
      <c r="E204" s="101"/>
      <c r="F204" s="131">
        <v>150</v>
      </c>
      <c r="G204" s="131">
        <v>25</v>
      </c>
      <c r="H204" s="101">
        <v>376832713</v>
      </c>
    </row>
    <row r="205" spans="1:8" x14ac:dyDescent="0.2">
      <c r="A205" s="121">
        <v>45252</v>
      </c>
      <c r="B205" s="101" t="s">
        <v>241</v>
      </c>
      <c r="C205" s="101" t="s">
        <v>555</v>
      </c>
      <c r="D205" s="101" t="s">
        <v>259</v>
      </c>
      <c r="E205" s="101"/>
      <c r="F205" s="131">
        <v>18.64</v>
      </c>
      <c r="G205" s="131">
        <v>3.11</v>
      </c>
      <c r="H205" s="101" t="s">
        <v>584</v>
      </c>
    </row>
    <row r="206" spans="1:8" x14ac:dyDescent="0.2">
      <c r="A206" s="121">
        <v>45260</v>
      </c>
      <c r="B206" s="101" t="s">
        <v>550</v>
      </c>
      <c r="C206" s="101" t="s">
        <v>551</v>
      </c>
      <c r="D206" s="101">
        <v>32375</v>
      </c>
      <c r="E206" s="101"/>
      <c r="F206" s="131">
        <v>576</v>
      </c>
      <c r="G206" s="131">
        <v>96</v>
      </c>
      <c r="H206" s="101" t="s">
        <v>209</v>
      </c>
    </row>
    <row r="207" spans="1:8" x14ac:dyDescent="0.2">
      <c r="A207" s="121">
        <v>45270</v>
      </c>
      <c r="B207" s="101" t="s">
        <v>513</v>
      </c>
      <c r="C207" s="101" t="s">
        <v>549</v>
      </c>
      <c r="D207" s="101" t="s">
        <v>332</v>
      </c>
      <c r="E207" s="101"/>
      <c r="F207" s="131">
        <v>92.65</v>
      </c>
      <c r="G207" s="131">
        <v>1.33</v>
      </c>
      <c r="H207" s="101">
        <v>232457280</v>
      </c>
    </row>
    <row r="208" spans="1:8" x14ac:dyDescent="0.2">
      <c r="A208" s="121">
        <v>45294</v>
      </c>
      <c r="B208" s="101" t="s">
        <v>103</v>
      </c>
      <c r="C208" s="101" t="s">
        <v>577</v>
      </c>
      <c r="D208" s="101" t="s">
        <v>576</v>
      </c>
      <c r="E208" s="101"/>
      <c r="F208" s="131">
        <v>9.98</v>
      </c>
      <c r="G208" s="131">
        <v>1.66</v>
      </c>
      <c r="H208" s="101" t="s">
        <v>576</v>
      </c>
    </row>
    <row r="209" spans="1:8" x14ac:dyDescent="0.2">
      <c r="A209" s="121">
        <v>45313</v>
      </c>
      <c r="B209" s="101" t="s">
        <v>103</v>
      </c>
      <c r="C209" s="101" t="s">
        <v>579</v>
      </c>
      <c r="D209" s="101">
        <v>8750735729</v>
      </c>
      <c r="E209" s="101"/>
      <c r="F209" s="131">
        <v>78.44</v>
      </c>
      <c r="G209" s="131">
        <v>13.08</v>
      </c>
      <c r="H209" s="101" t="s">
        <v>380</v>
      </c>
    </row>
    <row r="210" spans="1:8" x14ac:dyDescent="0.2">
      <c r="A210" s="121">
        <v>45347</v>
      </c>
      <c r="B210" s="71" t="s">
        <v>322</v>
      </c>
      <c r="C210" s="101" t="s">
        <v>592</v>
      </c>
      <c r="D210" s="71">
        <v>950</v>
      </c>
      <c r="E210" s="101"/>
      <c r="F210" s="131">
        <v>660</v>
      </c>
      <c r="G210" s="131">
        <v>110</v>
      </c>
      <c r="H210" s="101">
        <v>375930664</v>
      </c>
    </row>
    <row r="211" spans="1:8" x14ac:dyDescent="0.2">
      <c r="A211" s="121">
        <v>45350</v>
      </c>
      <c r="B211" s="71" t="s">
        <v>103</v>
      </c>
      <c r="C211" s="101" t="s">
        <v>593</v>
      </c>
      <c r="D211" s="71" t="s">
        <v>594</v>
      </c>
      <c r="E211" s="101"/>
      <c r="F211" s="131">
        <v>55.04</v>
      </c>
      <c r="G211" s="131">
        <v>9.17</v>
      </c>
      <c r="H211" s="101">
        <v>385529654</v>
      </c>
    </row>
    <row r="212" spans="1:8" x14ac:dyDescent="0.2">
      <c r="A212" s="121"/>
      <c r="B212" s="101"/>
      <c r="C212" s="101"/>
      <c r="D212" s="101"/>
      <c r="E212" s="101"/>
      <c r="F212" s="244">
        <f>SUM(F172:F211)</f>
        <v>24924.75</v>
      </c>
      <c r="G212" s="244">
        <f>SUM(G172:G211)</f>
        <v>4126.5499999999993</v>
      </c>
      <c r="H212" s="101"/>
    </row>
    <row r="214" spans="1:8" x14ac:dyDescent="0.2">
      <c r="A214" s="121"/>
      <c r="B214" s="180" t="s">
        <v>616</v>
      </c>
      <c r="C214" s="101"/>
      <c r="D214" s="101"/>
      <c r="E214" s="101"/>
      <c r="F214" s="131"/>
      <c r="G214" s="131"/>
      <c r="H214" s="101"/>
    </row>
    <row r="215" spans="1:8" ht="48" x14ac:dyDescent="0.2">
      <c r="A215" s="87" t="s">
        <v>119</v>
      </c>
      <c r="B215" s="85" t="s">
        <v>109</v>
      </c>
      <c r="C215" s="85" t="s">
        <v>115</v>
      </c>
      <c r="D215" s="85" t="s">
        <v>90</v>
      </c>
      <c r="E215" s="87"/>
      <c r="F215" s="86" t="s">
        <v>120</v>
      </c>
      <c r="G215" s="86" t="s">
        <v>116</v>
      </c>
      <c r="H215" s="85" t="s">
        <v>117</v>
      </c>
    </row>
    <row r="216" spans="1:8" x14ac:dyDescent="0.2">
      <c r="A216" s="154">
        <v>45283</v>
      </c>
      <c r="B216" s="71" t="s">
        <v>103</v>
      </c>
      <c r="C216" s="101" t="s">
        <v>618</v>
      </c>
      <c r="D216" s="101" t="s">
        <v>619</v>
      </c>
      <c r="E216" s="101"/>
      <c r="F216" s="131">
        <v>6.99</v>
      </c>
      <c r="G216" s="131">
        <v>1.17</v>
      </c>
      <c r="H216" s="101" t="s">
        <v>118</v>
      </c>
    </row>
    <row r="217" spans="1:8" x14ac:dyDescent="0.2">
      <c r="A217" s="154">
        <v>45330</v>
      </c>
      <c r="B217" s="71" t="s">
        <v>103</v>
      </c>
      <c r="C217" s="101" t="s">
        <v>623</v>
      </c>
      <c r="D217" s="101" t="s">
        <v>624</v>
      </c>
      <c r="E217" s="101"/>
      <c r="F217" s="131">
        <v>6.76</v>
      </c>
      <c r="G217" s="131">
        <v>1.1200000000000001</v>
      </c>
      <c r="H217" s="101" t="s">
        <v>625</v>
      </c>
    </row>
    <row r="218" spans="1:8" x14ac:dyDescent="0.2">
      <c r="A218" s="154">
        <v>45351</v>
      </c>
      <c r="B218" s="71" t="s">
        <v>103</v>
      </c>
      <c r="C218" s="101" t="s">
        <v>620</v>
      </c>
      <c r="D218" s="101" t="s">
        <v>621</v>
      </c>
      <c r="E218" s="101"/>
      <c r="F218" s="131">
        <v>11.52</v>
      </c>
      <c r="G218" s="131">
        <v>2.04</v>
      </c>
      <c r="H218" s="101" t="s">
        <v>622</v>
      </c>
    </row>
    <row r="219" spans="1:8" x14ac:dyDescent="0.2">
      <c r="A219" s="154">
        <v>45382</v>
      </c>
      <c r="B219" s="71" t="s">
        <v>101</v>
      </c>
      <c r="C219" s="101" t="s">
        <v>612</v>
      </c>
      <c r="D219" s="101">
        <v>603122262</v>
      </c>
      <c r="E219" s="101"/>
      <c r="F219" s="131">
        <v>444.28</v>
      </c>
      <c r="G219" s="131">
        <v>74.040000000000006</v>
      </c>
      <c r="H219" s="101">
        <v>193548138</v>
      </c>
    </row>
    <row r="220" spans="1:8" x14ac:dyDescent="0.2">
      <c r="F220" s="245">
        <f>SUM(F216:F219)</f>
        <v>469.54999999999995</v>
      </c>
      <c r="G220" s="245">
        <f>SUM(G216:G219)</f>
        <v>78.37</v>
      </c>
    </row>
  </sheetData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206"/>
  <sheetViews>
    <sheetView zoomScale="140" zoomScaleNormal="140" workbookViewId="0">
      <pane xSplit="1" ySplit="4" topLeftCell="C179" activePane="bottomRight" state="frozen"/>
      <selection sqref="A1:XFD1048576"/>
      <selection pane="topRight" sqref="A1:XFD1048576"/>
      <selection pane="bottomLeft" sqref="A1:XFD1048576"/>
      <selection pane="bottomRight" activeCell="C1" sqref="C1:G1048576"/>
    </sheetView>
  </sheetViews>
  <sheetFormatPr baseColWidth="10" defaultColWidth="10.5" defaultRowHeight="15" x14ac:dyDescent="0.2"/>
  <cols>
    <col min="1" max="1" width="10.5" style="75" customWidth="1"/>
    <col min="2" max="2" width="29" customWidth="1"/>
    <col min="3" max="3" width="38.6640625" customWidth="1"/>
    <col min="4" max="4" width="12" customWidth="1"/>
    <col min="5" max="5" width="5.6640625" style="146" customWidth="1"/>
    <col min="6" max="6" width="16.6640625" customWidth="1"/>
    <col min="7" max="7" width="11.33203125" customWidth="1"/>
    <col min="8" max="8" width="12" style="3" customWidth="1"/>
    <col min="9" max="9" width="12" style="136" customWidth="1"/>
    <col min="10" max="10" width="4" style="1" customWidth="1"/>
    <col min="11" max="13" width="11.5" style="4" customWidth="1"/>
    <col min="14" max="14" width="13.33203125" style="2" customWidth="1"/>
    <col min="15" max="15" width="5.1640625" style="1" customWidth="1"/>
    <col min="16" max="16" width="14.83203125" style="1" customWidth="1"/>
    <col min="17" max="17" width="29.6640625" style="1" customWidth="1"/>
    <col min="18" max="18" width="14.6640625" customWidth="1"/>
    <col min="19" max="20" width="12" customWidth="1"/>
    <col min="21" max="228" width="10.6640625" customWidth="1"/>
  </cols>
  <sheetData>
    <row r="1" spans="1:17" ht="16.75" customHeight="1" x14ac:dyDescent="0.2">
      <c r="A1" s="75" t="s">
        <v>123</v>
      </c>
      <c r="D1" t="s">
        <v>84</v>
      </c>
      <c r="G1" t="s">
        <v>85</v>
      </c>
      <c r="I1" s="136" t="s">
        <v>86</v>
      </c>
    </row>
    <row r="2" spans="1:17" ht="16.75" customHeight="1" x14ac:dyDescent="0.2">
      <c r="A2" s="75" t="s">
        <v>123</v>
      </c>
    </row>
    <row r="3" spans="1:17" ht="16.75" customHeight="1" x14ac:dyDescent="0.2">
      <c r="A3" s="75" t="s">
        <v>123</v>
      </c>
      <c r="H3" s="3" t="s">
        <v>87</v>
      </c>
      <c r="N3" s="2" t="s">
        <v>88</v>
      </c>
    </row>
    <row r="4" spans="1:17" s="76" customFormat="1" ht="35.75" customHeight="1" x14ac:dyDescent="0.2">
      <c r="A4" s="75" t="s">
        <v>89</v>
      </c>
      <c r="B4" s="76" t="s">
        <v>109</v>
      </c>
      <c r="C4" s="76" t="s">
        <v>110</v>
      </c>
      <c r="D4" s="76" t="s">
        <v>90</v>
      </c>
      <c r="E4" s="147" t="s">
        <v>113</v>
      </c>
      <c r="F4" s="76" t="s">
        <v>91</v>
      </c>
      <c r="G4" s="76" t="s">
        <v>92</v>
      </c>
      <c r="H4" s="77" t="s">
        <v>93</v>
      </c>
      <c r="I4" s="137" t="s">
        <v>94</v>
      </c>
      <c r="J4" s="78"/>
      <c r="K4" s="79" t="s">
        <v>95</v>
      </c>
      <c r="L4" s="80" t="s">
        <v>96</v>
      </c>
      <c r="M4" s="79" t="s">
        <v>97</v>
      </c>
      <c r="N4" s="81" t="s">
        <v>98</v>
      </c>
      <c r="O4" s="78" t="s">
        <v>99</v>
      </c>
      <c r="P4" s="82" t="s">
        <v>100</v>
      </c>
      <c r="Q4" s="78"/>
    </row>
    <row r="5" spans="1:17" s="76" customFormat="1" ht="14" customHeight="1" x14ac:dyDescent="0.2">
      <c r="A5" s="247" t="s">
        <v>421</v>
      </c>
      <c r="B5" s="135" t="s">
        <v>422</v>
      </c>
      <c r="E5" s="148"/>
      <c r="H5" s="77"/>
      <c r="I5" s="137"/>
      <c r="J5" s="78"/>
      <c r="K5" s="79"/>
      <c r="L5" s="80"/>
      <c r="M5" s="79"/>
      <c r="N5" s="81"/>
      <c r="O5" s="78"/>
      <c r="P5" s="241">
        <v>15762.72</v>
      </c>
      <c r="Q5" s="75" t="s">
        <v>420</v>
      </c>
    </row>
    <row r="6" spans="1:17" x14ac:dyDescent="0.2">
      <c r="A6" s="248">
        <v>45019</v>
      </c>
      <c r="B6" s="149" t="s">
        <v>101</v>
      </c>
      <c r="C6" s="101" t="s">
        <v>385</v>
      </c>
      <c r="D6" s="71" t="s">
        <v>386</v>
      </c>
      <c r="E6" s="150" t="s">
        <v>114</v>
      </c>
      <c r="F6" s="83" t="s">
        <v>378</v>
      </c>
      <c r="G6" s="71" t="s">
        <v>68</v>
      </c>
      <c r="H6" s="179"/>
      <c r="I6" s="8">
        <v>389.37</v>
      </c>
      <c r="J6" s="5"/>
      <c r="K6" s="118">
        <f t="shared" ref="K6:K19" si="0">I6</f>
        <v>389.37</v>
      </c>
      <c r="L6" s="118">
        <v>64.89</v>
      </c>
      <c r="M6" s="6">
        <f t="shared" ref="M6:M19" si="1">K6-L6</f>
        <v>324.48</v>
      </c>
      <c r="N6" s="7">
        <v>-389.37</v>
      </c>
      <c r="O6" s="236"/>
      <c r="P6" s="7">
        <f>P5+N6</f>
        <v>15373.349999999999</v>
      </c>
      <c r="Q6" s="93"/>
    </row>
    <row r="7" spans="1:17" x14ac:dyDescent="0.2">
      <c r="A7" s="248">
        <v>45027</v>
      </c>
      <c r="B7" s="149" t="s">
        <v>394</v>
      </c>
      <c r="C7" s="101" t="s">
        <v>395</v>
      </c>
      <c r="D7" s="71" t="s">
        <v>249</v>
      </c>
      <c r="E7" s="150" t="s">
        <v>114</v>
      </c>
      <c r="F7" s="83"/>
      <c r="G7" s="71" t="s">
        <v>54</v>
      </c>
      <c r="H7" s="179"/>
      <c r="I7" s="8">
        <v>50</v>
      </c>
      <c r="J7" s="5"/>
      <c r="K7" s="118">
        <f t="shared" si="0"/>
        <v>50</v>
      </c>
      <c r="L7" s="118">
        <v>0</v>
      </c>
      <c r="M7" s="6">
        <f t="shared" si="1"/>
        <v>50</v>
      </c>
      <c r="N7" s="7">
        <v>-50</v>
      </c>
      <c r="O7" s="236"/>
      <c r="P7" s="7">
        <f t="shared" ref="P7:P129" si="2">P6+N7</f>
        <v>15323.349999999999</v>
      </c>
      <c r="Q7" s="93"/>
    </row>
    <row r="8" spans="1:17" x14ac:dyDescent="0.2">
      <c r="A8" s="248">
        <v>45027</v>
      </c>
      <c r="B8" s="149" t="s">
        <v>127</v>
      </c>
      <c r="C8" s="101" t="s">
        <v>398</v>
      </c>
      <c r="D8" s="71"/>
      <c r="E8" s="150" t="s">
        <v>114</v>
      </c>
      <c r="F8" s="83"/>
      <c r="G8" s="71" t="s">
        <v>9</v>
      </c>
      <c r="H8" s="179">
        <v>1317.96</v>
      </c>
      <c r="I8" s="8"/>
      <c r="J8" s="5"/>
      <c r="K8" s="118">
        <v>0</v>
      </c>
      <c r="L8" s="118">
        <v>0</v>
      </c>
      <c r="M8" s="6">
        <f t="shared" si="1"/>
        <v>0</v>
      </c>
      <c r="N8" s="7">
        <v>1317.96</v>
      </c>
      <c r="O8" s="236"/>
      <c r="P8" s="7">
        <f t="shared" si="2"/>
        <v>16641.309999999998</v>
      </c>
      <c r="Q8" s="93"/>
    </row>
    <row r="9" spans="1:17" x14ac:dyDescent="0.2">
      <c r="A9" s="248">
        <v>45031</v>
      </c>
      <c r="B9" s="158" t="s">
        <v>389</v>
      </c>
      <c r="C9" s="71" t="s">
        <v>390</v>
      </c>
      <c r="D9" s="71"/>
      <c r="E9" s="150"/>
      <c r="F9" s="71"/>
      <c r="G9" s="71" t="s">
        <v>13</v>
      </c>
      <c r="H9" s="179"/>
      <c r="I9" s="8">
        <v>61.46</v>
      </c>
      <c r="J9" s="5"/>
      <c r="K9" s="118">
        <f t="shared" si="0"/>
        <v>61.46</v>
      </c>
      <c r="L9" s="118">
        <v>0</v>
      </c>
      <c r="M9" s="6">
        <f t="shared" si="1"/>
        <v>61.46</v>
      </c>
      <c r="N9" s="7">
        <v>-352.53</v>
      </c>
      <c r="O9" s="236"/>
      <c r="P9" s="7">
        <f t="shared" si="2"/>
        <v>16288.779999999997</v>
      </c>
      <c r="Q9" s="93"/>
    </row>
    <row r="10" spans="1:17" x14ac:dyDescent="0.2">
      <c r="A10" s="248">
        <v>45031</v>
      </c>
      <c r="B10" s="149" t="s">
        <v>393</v>
      </c>
      <c r="C10" s="71" t="s">
        <v>390</v>
      </c>
      <c r="D10" s="71"/>
      <c r="E10" s="150"/>
      <c r="F10" s="71"/>
      <c r="G10" s="71" t="s">
        <v>13</v>
      </c>
      <c r="H10" s="179"/>
      <c r="I10" s="8">
        <v>245.98</v>
      </c>
      <c r="J10" s="5"/>
      <c r="K10" s="118">
        <f t="shared" si="0"/>
        <v>245.98</v>
      </c>
      <c r="L10" s="118">
        <v>0</v>
      </c>
      <c r="M10" s="6">
        <f t="shared" si="1"/>
        <v>245.98</v>
      </c>
      <c r="N10" s="7">
        <v>-87.8</v>
      </c>
      <c r="O10" s="236"/>
      <c r="P10" s="7">
        <f t="shared" si="2"/>
        <v>16200.979999999998</v>
      </c>
      <c r="Q10" s="93"/>
    </row>
    <row r="11" spans="1:17" x14ac:dyDescent="0.2">
      <c r="A11" s="248">
        <v>45031</v>
      </c>
      <c r="B11" s="149" t="s">
        <v>393</v>
      </c>
      <c r="C11" s="71" t="s">
        <v>391</v>
      </c>
      <c r="D11" s="102"/>
      <c r="E11" s="150"/>
      <c r="F11" s="71"/>
      <c r="G11" s="71" t="s">
        <v>19</v>
      </c>
      <c r="H11" s="179"/>
      <c r="I11" s="8">
        <v>1.1299999999999999</v>
      </c>
      <c r="J11" s="5"/>
      <c r="K11" s="118">
        <f t="shared" si="0"/>
        <v>1.1299999999999999</v>
      </c>
      <c r="L11" s="118">
        <v>0</v>
      </c>
      <c r="M11" s="6">
        <f t="shared" si="1"/>
        <v>1.1299999999999999</v>
      </c>
      <c r="N11" s="7"/>
      <c r="O11" s="236"/>
      <c r="P11" s="7">
        <f t="shared" si="2"/>
        <v>16200.979999999998</v>
      </c>
      <c r="Q11" s="93"/>
    </row>
    <row r="12" spans="1:17" x14ac:dyDescent="0.2">
      <c r="A12" s="248">
        <v>45031</v>
      </c>
      <c r="B12" s="149" t="s">
        <v>389</v>
      </c>
      <c r="C12" s="71" t="s">
        <v>392</v>
      </c>
      <c r="D12" s="71"/>
      <c r="E12" s="150"/>
      <c r="F12" s="71"/>
      <c r="G12" s="71" t="s">
        <v>17</v>
      </c>
      <c r="H12" s="179"/>
      <c r="I12" s="8">
        <v>26.34</v>
      </c>
      <c r="J12" s="5"/>
      <c r="K12" s="118">
        <f t="shared" si="0"/>
        <v>26.34</v>
      </c>
      <c r="L12" s="118">
        <v>0</v>
      </c>
      <c r="M12" s="6">
        <f t="shared" si="1"/>
        <v>26.34</v>
      </c>
      <c r="N12" s="7"/>
      <c r="O12" s="236"/>
      <c r="P12" s="7">
        <f t="shared" si="2"/>
        <v>16200.979999999998</v>
      </c>
      <c r="Q12" s="93"/>
    </row>
    <row r="13" spans="1:17" x14ac:dyDescent="0.2">
      <c r="A13" s="248">
        <v>45031</v>
      </c>
      <c r="B13" s="149" t="s">
        <v>393</v>
      </c>
      <c r="C13" s="71" t="s">
        <v>392</v>
      </c>
      <c r="D13" s="71"/>
      <c r="E13" s="150"/>
      <c r="F13" s="71"/>
      <c r="G13" s="71" t="s">
        <v>17</v>
      </c>
      <c r="H13" s="179"/>
      <c r="I13" s="8">
        <v>105.42</v>
      </c>
      <c r="J13" s="5"/>
      <c r="K13" s="118">
        <f t="shared" si="0"/>
        <v>105.42</v>
      </c>
      <c r="L13" s="118">
        <v>0</v>
      </c>
      <c r="M13" s="6">
        <f t="shared" si="1"/>
        <v>105.42</v>
      </c>
      <c r="N13" s="7"/>
      <c r="O13" s="236"/>
      <c r="P13" s="7">
        <f t="shared" si="2"/>
        <v>16200.979999999998</v>
      </c>
      <c r="Q13" s="93"/>
    </row>
    <row r="14" spans="1:17" x14ac:dyDescent="0.2">
      <c r="A14" s="248">
        <v>45033</v>
      </c>
      <c r="B14" s="149" t="s">
        <v>241</v>
      </c>
      <c r="C14" s="71" t="s">
        <v>407</v>
      </c>
      <c r="D14" s="71" t="s">
        <v>259</v>
      </c>
      <c r="E14" s="150" t="s">
        <v>114</v>
      </c>
      <c r="F14" s="71"/>
      <c r="G14" s="71" t="s">
        <v>157</v>
      </c>
      <c r="H14" s="179"/>
      <c r="I14" s="8">
        <v>23.96</v>
      </c>
      <c r="J14" s="182"/>
      <c r="K14" s="183">
        <f t="shared" si="0"/>
        <v>23.96</v>
      </c>
      <c r="L14" s="183">
        <v>0</v>
      </c>
      <c r="M14" s="187">
        <f t="shared" si="1"/>
        <v>23.96</v>
      </c>
      <c r="N14" s="92">
        <v>-23.96</v>
      </c>
      <c r="O14" s="236"/>
      <c r="P14" s="7">
        <f t="shared" si="2"/>
        <v>16177.019999999999</v>
      </c>
      <c r="Q14" s="93"/>
    </row>
    <row r="15" spans="1:17" x14ac:dyDescent="0.2">
      <c r="A15" s="248">
        <v>45033</v>
      </c>
      <c r="B15" s="149" t="s">
        <v>241</v>
      </c>
      <c r="C15" s="71" t="s">
        <v>406</v>
      </c>
      <c r="D15" s="71" t="s">
        <v>249</v>
      </c>
      <c r="E15" s="150" t="s">
        <v>114</v>
      </c>
      <c r="F15" s="71"/>
      <c r="G15" s="71" t="s">
        <v>157</v>
      </c>
      <c r="H15" s="179"/>
      <c r="I15" s="8">
        <v>10.8</v>
      </c>
      <c r="J15" s="182"/>
      <c r="K15" s="6">
        <f t="shared" si="0"/>
        <v>10.8</v>
      </c>
      <c r="L15" s="6">
        <v>0</v>
      </c>
      <c r="M15" s="6">
        <f t="shared" si="1"/>
        <v>10.8</v>
      </c>
      <c r="N15" s="92">
        <v>-10.8</v>
      </c>
      <c r="O15" s="236"/>
      <c r="P15" s="7">
        <f t="shared" si="2"/>
        <v>16166.22</v>
      </c>
      <c r="Q15"/>
    </row>
    <row r="16" spans="1:17" x14ac:dyDescent="0.2">
      <c r="A16" s="248">
        <v>45033</v>
      </c>
      <c r="B16" s="149" t="s">
        <v>103</v>
      </c>
      <c r="C16" s="71" t="s">
        <v>408</v>
      </c>
      <c r="D16" s="196" t="s">
        <v>409</v>
      </c>
      <c r="E16" s="150" t="s">
        <v>114</v>
      </c>
      <c r="F16" s="71" t="s">
        <v>601</v>
      </c>
      <c r="G16" s="71" t="s">
        <v>157</v>
      </c>
      <c r="H16" s="179"/>
      <c r="I16" s="8">
        <v>704.95</v>
      </c>
      <c r="J16" s="182"/>
      <c r="K16" s="6">
        <f t="shared" si="0"/>
        <v>704.95</v>
      </c>
      <c r="L16" s="6">
        <v>117.49</v>
      </c>
      <c r="M16" s="6">
        <f t="shared" si="1"/>
        <v>587.46</v>
      </c>
      <c r="N16" s="92">
        <v>-704.95</v>
      </c>
      <c r="O16" s="236"/>
      <c r="P16" s="7">
        <f t="shared" si="2"/>
        <v>15461.269999999999</v>
      </c>
    </row>
    <row r="17" spans="1:17" ht="15" customHeight="1" x14ac:dyDescent="0.2">
      <c r="A17" s="248">
        <v>45033</v>
      </c>
      <c r="B17" s="149" t="s">
        <v>306</v>
      </c>
      <c r="C17" s="71" t="s">
        <v>410</v>
      </c>
      <c r="D17" s="71" t="s">
        <v>411</v>
      </c>
      <c r="E17" s="150" t="s">
        <v>114</v>
      </c>
      <c r="F17" s="71"/>
      <c r="G17" s="71" t="s">
        <v>46</v>
      </c>
      <c r="H17" s="179"/>
      <c r="I17" s="8">
        <v>692.5</v>
      </c>
      <c r="J17" s="182"/>
      <c r="K17" s="6">
        <f t="shared" si="0"/>
        <v>692.5</v>
      </c>
      <c r="L17" s="6">
        <v>0</v>
      </c>
      <c r="M17" s="6">
        <f t="shared" si="1"/>
        <v>692.5</v>
      </c>
      <c r="N17" s="92">
        <v>-692.5</v>
      </c>
      <c r="O17" s="236"/>
      <c r="P17" s="7">
        <f t="shared" si="2"/>
        <v>14768.769999999999</v>
      </c>
    </row>
    <row r="18" spans="1:17" x14ac:dyDescent="0.2">
      <c r="A18" s="248">
        <v>45033</v>
      </c>
      <c r="B18" s="149" t="s">
        <v>405</v>
      </c>
      <c r="C18" s="71" t="s">
        <v>412</v>
      </c>
      <c r="D18" s="71">
        <v>213208</v>
      </c>
      <c r="E18" s="150" t="s">
        <v>114</v>
      </c>
      <c r="F18" s="71" t="s">
        <v>601</v>
      </c>
      <c r="G18" s="71" t="s">
        <v>157</v>
      </c>
      <c r="H18" s="179"/>
      <c r="I18" s="8">
        <v>720</v>
      </c>
      <c r="J18" s="182"/>
      <c r="K18" s="6">
        <f t="shared" si="0"/>
        <v>720</v>
      </c>
      <c r="L18" s="6">
        <v>120</v>
      </c>
      <c r="M18" s="6">
        <f t="shared" si="1"/>
        <v>600</v>
      </c>
      <c r="N18" s="92">
        <v>-720</v>
      </c>
      <c r="O18" s="236"/>
      <c r="P18" s="7">
        <f t="shared" si="2"/>
        <v>14048.769999999999</v>
      </c>
      <c r="Q18" s="93"/>
    </row>
    <row r="19" spans="1:17" x14ac:dyDescent="0.2">
      <c r="A19" s="248">
        <v>45034</v>
      </c>
      <c r="B19" s="149" t="s">
        <v>405</v>
      </c>
      <c r="C19" s="71" t="s">
        <v>415</v>
      </c>
      <c r="D19" s="71">
        <v>213213</v>
      </c>
      <c r="E19" s="150" t="s">
        <v>114</v>
      </c>
      <c r="F19" s="71" t="s">
        <v>601</v>
      </c>
      <c r="G19" s="71" t="s">
        <v>157</v>
      </c>
      <c r="H19" s="179"/>
      <c r="I19" s="8">
        <v>94.92</v>
      </c>
      <c r="J19" s="182"/>
      <c r="K19" s="6">
        <f t="shared" si="0"/>
        <v>94.92</v>
      </c>
      <c r="L19" s="6">
        <v>15.82</v>
      </c>
      <c r="M19" s="6">
        <f t="shared" si="1"/>
        <v>79.099999999999994</v>
      </c>
      <c r="N19" s="92">
        <v>-94.92</v>
      </c>
      <c r="O19" s="236"/>
      <c r="P19" s="7">
        <f t="shared" si="2"/>
        <v>13953.849999999999</v>
      </c>
    </row>
    <row r="20" spans="1:17" x14ac:dyDescent="0.2">
      <c r="A20" s="249"/>
      <c r="B20" s="152"/>
      <c r="C20" s="181"/>
      <c r="D20" s="159"/>
      <c r="E20" s="153"/>
      <c r="F20" s="197"/>
      <c r="G20" s="160"/>
      <c r="H20" s="161"/>
      <c r="I20" s="162"/>
      <c r="J20" s="198"/>
      <c r="K20" s="163"/>
      <c r="L20" s="163"/>
      <c r="M20" s="96"/>
      <c r="N20" s="163"/>
      <c r="O20" s="237"/>
      <c r="P20" s="242">
        <f t="shared" si="2"/>
        <v>13953.849999999999</v>
      </c>
      <c r="Q20" s="240" t="s">
        <v>423</v>
      </c>
    </row>
    <row r="21" spans="1:17" ht="14" customHeight="1" x14ac:dyDescent="0.2">
      <c r="A21" s="121">
        <v>45027</v>
      </c>
      <c r="B21" s="71" t="s">
        <v>396</v>
      </c>
      <c r="C21" s="101" t="s">
        <v>397</v>
      </c>
      <c r="D21" s="71" t="s">
        <v>249</v>
      </c>
      <c r="E21" s="150" t="s">
        <v>114</v>
      </c>
      <c r="F21" s="83"/>
      <c r="G21" s="71" t="s">
        <v>41</v>
      </c>
      <c r="H21" s="179"/>
      <c r="I21" s="8">
        <v>12.6</v>
      </c>
      <c r="J21" s="5"/>
      <c r="K21" s="118">
        <f t="shared" ref="K21:K26" si="3">I21</f>
        <v>12.6</v>
      </c>
      <c r="L21" s="118">
        <v>0</v>
      </c>
      <c r="M21" s="6">
        <f t="shared" ref="M21:M26" si="4">K21-L21</f>
        <v>12.6</v>
      </c>
      <c r="N21" s="7">
        <v>-12.6</v>
      </c>
      <c r="O21" s="236"/>
      <c r="P21" s="234">
        <f t="shared" si="2"/>
        <v>13941.249999999998</v>
      </c>
      <c r="Q21" s="93"/>
    </row>
    <row r="22" spans="1:17" ht="14" customHeight="1" x14ac:dyDescent="0.2">
      <c r="A22" s="121">
        <v>45033</v>
      </c>
      <c r="B22" s="188" t="s">
        <v>104</v>
      </c>
      <c r="C22" s="188" t="s">
        <v>413</v>
      </c>
      <c r="D22" s="71" t="s">
        <v>414</v>
      </c>
      <c r="E22" s="150" t="s">
        <v>114</v>
      </c>
      <c r="F22" s="83"/>
      <c r="G22" s="188" t="s">
        <v>50</v>
      </c>
      <c r="H22" s="179"/>
      <c r="I22" s="8">
        <v>59.05</v>
      </c>
      <c r="J22" s="182"/>
      <c r="K22" s="6">
        <f t="shared" si="3"/>
        <v>59.05</v>
      </c>
      <c r="L22" s="6">
        <v>0</v>
      </c>
      <c r="M22" s="6">
        <f t="shared" si="4"/>
        <v>59.05</v>
      </c>
      <c r="N22" s="92">
        <v>-59.05</v>
      </c>
      <c r="O22" s="236"/>
      <c r="P22" s="234">
        <f t="shared" si="2"/>
        <v>13882.199999999999</v>
      </c>
    </row>
    <row r="23" spans="1:17" ht="14" customHeight="1" x14ac:dyDescent="0.2">
      <c r="A23" s="121">
        <v>45037</v>
      </c>
      <c r="B23" s="71" t="s">
        <v>127</v>
      </c>
      <c r="C23" s="101" t="s">
        <v>416</v>
      </c>
      <c r="D23" s="102" t="s">
        <v>249</v>
      </c>
      <c r="E23" s="150" t="s">
        <v>114</v>
      </c>
      <c r="F23" s="83"/>
      <c r="G23" s="151" t="s">
        <v>4</v>
      </c>
      <c r="H23" s="179">
        <v>12500</v>
      </c>
      <c r="I23" s="8"/>
      <c r="J23" s="182"/>
      <c r="K23" s="6">
        <f t="shared" si="3"/>
        <v>0</v>
      </c>
      <c r="L23" s="6">
        <v>0</v>
      </c>
      <c r="M23" s="6">
        <f t="shared" si="4"/>
        <v>0</v>
      </c>
      <c r="N23" s="92">
        <v>12500</v>
      </c>
      <c r="O23" s="236"/>
      <c r="P23" s="234">
        <f t="shared" si="2"/>
        <v>26382.199999999997</v>
      </c>
    </row>
    <row r="24" spans="1:17" ht="14" customHeight="1" x14ac:dyDescent="0.2">
      <c r="A24" s="121">
        <v>45055</v>
      </c>
      <c r="B24" s="71" t="s">
        <v>127</v>
      </c>
      <c r="C24" s="188" t="s">
        <v>418</v>
      </c>
      <c r="D24" s="102" t="s">
        <v>249</v>
      </c>
      <c r="E24" s="150" t="s">
        <v>114</v>
      </c>
      <c r="F24" s="83"/>
      <c r="G24" s="151" t="s">
        <v>9</v>
      </c>
      <c r="H24" s="179">
        <v>61</v>
      </c>
      <c r="I24" s="8"/>
      <c r="J24" s="182"/>
      <c r="K24" s="6">
        <f t="shared" si="3"/>
        <v>0</v>
      </c>
      <c r="L24" s="6">
        <v>0</v>
      </c>
      <c r="M24" s="6">
        <f t="shared" si="4"/>
        <v>0</v>
      </c>
      <c r="N24" s="92">
        <v>61</v>
      </c>
      <c r="O24" s="236"/>
      <c r="P24" s="234">
        <f t="shared" si="2"/>
        <v>26443.199999999997</v>
      </c>
    </row>
    <row r="25" spans="1:17" ht="14" customHeight="1" x14ac:dyDescent="0.2">
      <c r="A25" s="121">
        <v>45055</v>
      </c>
      <c r="B25" s="71" t="s">
        <v>127</v>
      </c>
      <c r="C25" s="101" t="s">
        <v>417</v>
      </c>
      <c r="D25" s="102" t="s">
        <v>249</v>
      </c>
      <c r="E25" s="150" t="s">
        <v>114</v>
      </c>
      <c r="F25" s="83"/>
      <c r="G25" s="151" t="s">
        <v>9</v>
      </c>
      <c r="H25" s="179">
        <v>182.4</v>
      </c>
      <c r="I25" s="8"/>
      <c r="J25" s="182"/>
      <c r="K25" s="6">
        <f t="shared" si="3"/>
        <v>0</v>
      </c>
      <c r="L25" s="6">
        <v>0</v>
      </c>
      <c r="M25" s="6">
        <f t="shared" si="4"/>
        <v>0</v>
      </c>
      <c r="N25" s="92">
        <v>182.4</v>
      </c>
      <c r="O25" s="236"/>
      <c r="P25" s="234">
        <f t="shared" si="2"/>
        <v>26625.599999999999</v>
      </c>
    </row>
    <row r="26" spans="1:17" ht="14" customHeight="1" x14ac:dyDescent="0.2">
      <c r="A26" s="121">
        <v>45056</v>
      </c>
      <c r="B26" s="71" t="s">
        <v>127</v>
      </c>
      <c r="C26" s="101" t="s">
        <v>419</v>
      </c>
      <c r="D26" s="102" t="s">
        <v>249</v>
      </c>
      <c r="E26" s="150" t="s">
        <v>114</v>
      </c>
      <c r="F26" s="83"/>
      <c r="G26" s="151" t="s">
        <v>9</v>
      </c>
      <c r="H26" s="179">
        <v>500</v>
      </c>
      <c r="I26" s="8"/>
      <c r="J26" s="182"/>
      <c r="K26" s="6">
        <f t="shared" si="3"/>
        <v>0</v>
      </c>
      <c r="L26" s="6">
        <v>0</v>
      </c>
      <c r="M26" s="6">
        <f t="shared" si="4"/>
        <v>0</v>
      </c>
      <c r="N26" s="92">
        <v>500</v>
      </c>
      <c r="O26" s="236"/>
      <c r="P26" s="234">
        <f t="shared" si="2"/>
        <v>27125.599999999999</v>
      </c>
    </row>
    <row r="27" spans="1:17" ht="14" customHeight="1" x14ac:dyDescent="0.2">
      <c r="A27" s="121">
        <v>45061</v>
      </c>
      <c r="B27" s="71" t="s">
        <v>432</v>
      </c>
      <c r="C27" s="101" t="s">
        <v>434</v>
      </c>
      <c r="D27" s="102"/>
      <c r="E27" s="150"/>
      <c r="F27" s="83"/>
      <c r="G27" s="71" t="s">
        <v>13</v>
      </c>
      <c r="H27" s="179"/>
      <c r="I27" s="8">
        <v>62.02</v>
      </c>
      <c r="J27" s="182"/>
      <c r="K27" s="6">
        <f t="shared" ref="K27:K38" si="5">I27</f>
        <v>62.02</v>
      </c>
      <c r="L27" s="6">
        <v>0</v>
      </c>
      <c r="M27" s="6">
        <f t="shared" ref="M27:M38" si="6">K27-L27</f>
        <v>62.02</v>
      </c>
      <c r="N27" s="92">
        <v>-88.6</v>
      </c>
      <c r="O27" s="236"/>
      <c r="P27" s="234">
        <f t="shared" si="2"/>
        <v>27037</v>
      </c>
    </row>
    <row r="28" spans="1:17" ht="14" customHeight="1" x14ac:dyDescent="0.2">
      <c r="A28" s="121">
        <v>45061</v>
      </c>
      <c r="B28" s="71" t="s">
        <v>433</v>
      </c>
      <c r="C28" s="101" t="s">
        <v>434</v>
      </c>
      <c r="D28" s="102"/>
      <c r="E28" s="150"/>
      <c r="F28" s="83"/>
      <c r="G28" s="71" t="s">
        <v>13</v>
      </c>
      <c r="H28" s="179"/>
      <c r="I28" s="8">
        <v>248.5</v>
      </c>
      <c r="J28" s="182"/>
      <c r="K28" s="6">
        <f t="shared" si="5"/>
        <v>248.5</v>
      </c>
      <c r="L28" s="6">
        <v>0</v>
      </c>
      <c r="M28" s="6">
        <f t="shared" si="6"/>
        <v>248.5</v>
      </c>
      <c r="N28" s="92">
        <v>-355</v>
      </c>
      <c r="O28" s="236"/>
      <c r="P28" s="234">
        <f t="shared" si="2"/>
        <v>26682</v>
      </c>
    </row>
    <row r="29" spans="1:17" ht="14" customHeight="1" x14ac:dyDescent="0.2">
      <c r="A29" s="121">
        <v>45061</v>
      </c>
      <c r="B29" s="71" t="s">
        <v>433</v>
      </c>
      <c r="C29" s="101" t="s">
        <v>435</v>
      </c>
      <c r="D29" s="102"/>
      <c r="E29" s="150"/>
      <c r="F29" s="83"/>
      <c r="G29" s="71" t="s">
        <v>19</v>
      </c>
      <c r="H29" s="179"/>
      <c r="I29" s="8">
        <v>0</v>
      </c>
      <c r="J29" s="182"/>
      <c r="K29" s="6">
        <f t="shared" si="5"/>
        <v>0</v>
      </c>
      <c r="L29" s="6">
        <v>0</v>
      </c>
      <c r="M29" s="6">
        <f t="shared" si="6"/>
        <v>0</v>
      </c>
      <c r="N29" s="92"/>
      <c r="O29" s="236"/>
      <c r="P29" s="234">
        <f t="shared" si="2"/>
        <v>26682</v>
      </c>
      <c r="Q29" s="218"/>
    </row>
    <row r="30" spans="1:17" ht="14" customHeight="1" x14ac:dyDescent="0.2">
      <c r="A30" s="121">
        <v>45061</v>
      </c>
      <c r="B30" s="71" t="s">
        <v>432</v>
      </c>
      <c r="C30" s="101" t="s">
        <v>436</v>
      </c>
      <c r="D30" s="102"/>
      <c r="E30" s="150"/>
      <c r="F30" s="83"/>
      <c r="G30" s="71" t="s">
        <v>17</v>
      </c>
      <c r="H30" s="179"/>
      <c r="I30" s="8">
        <v>26.58</v>
      </c>
      <c r="J30" s="182"/>
      <c r="K30" s="6">
        <f t="shared" si="5"/>
        <v>26.58</v>
      </c>
      <c r="L30" s="6">
        <v>0</v>
      </c>
      <c r="M30" s="6">
        <f t="shared" si="6"/>
        <v>26.58</v>
      </c>
      <c r="N30" s="92"/>
      <c r="O30" s="236"/>
      <c r="P30" s="234">
        <f t="shared" si="2"/>
        <v>26682</v>
      </c>
    </row>
    <row r="31" spans="1:17" ht="14" customHeight="1" x14ac:dyDescent="0.2">
      <c r="A31" s="121">
        <v>45061</v>
      </c>
      <c r="B31" s="71" t="s">
        <v>433</v>
      </c>
      <c r="C31" s="101" t="s">
        <v>436</v>
      </c>
      <c r="D31" s="102"/>
      <c r="E31" s="150"/>
      <c r="F31" s="83"/>
      <c r="G31" s="71" t="s">
        <v>17</v>
      </c>
      <c r="H31" s="179"/>
      <c r="I31" s="8">
        <v>106.5</v>
      </c>
      <c r="J31" s="182"/>
      <c r="K31" s="6">
        <f t="shared" si="5"/>
        <v>106.5</v>
      </c>
      <c r="L31" s="6">
        <v>0</v>
      </c>
      <c r="M31" s="6">
        <f t="shared" si="6"/>
        <v>106.5</v>
      </c>
      <c r="N31" s="92"/>
      <c r="O31" s="236"/>
      <c r="P31" s="234">
        <f t="shared" si="2"/>
        <v>26682</v>
      </c>
    </row>
    <row r="32" spans="1:17" ht="14" customHeight="1" x14ac:dyDescent="0.2">
      <c r="A32" s="121">
        <v>45061</v>
      </c>
      <c r="B32" s="71" t="s">
        <v>121</v>
      </c>
      <c r="C32" s="101" t="s">
        <v>437</v>
      </c>
      <c r="D32" s="102">
        <v>51033</v>
      </c>
      <c r="E32" s="150" t="s">
        <v>114</v>
      </c>
      <c r="F32" s="71" t="s">
        <v>601</v>
      </c>
      <c r="G32" s="151" t="s">
        <v>172</v>
      </c>
      <c r="H32" s="179"/>
      <c r="I32" s="8">
        <v>96</v>
      </c>
      <c r="J32" s="182"/>
      <c r="K32" s="6">
        <f t="shared" si="5"/>
        <v>96</v>
      </c>
      <c r="L32" s="6">
        <v>16</v>
      </c>
      <c r="M32" s="6">
        <f t="shared" si="6"/>
        <v>80</v>
      </c>
      <c r="N32" s="92">
        <v>-96</v>
      </c>
      <c r="O32" s="236"/>
      <c r="P32" s="234">
        <f t="shared" si="2"/>
        <v>26586</v>
      </c>
    </row>
    <row r="33" spans="1:17" ht="14" customHeight="1" x14ac:dyDescent="0.2">
      <c r="A33" s="121">
        <v>45061</v>
      </c>
      <c r="B33" s="71" t="s">
        <v>121</v>
      </c>
      <c r="C33" s="101" t="s">
        <v>166</v>
      </c>
      <c r="D33" s="102">
        <v>21093</v>
      </c>
      <c r="E33" s="150" t="s">
        <v>114</v>
      </c>
      <c r="F33" s="71" t="s">
        <v>601</v>
      </c>
      <c r="G33" s="151" t="s">
        <v>25</v>
      </c>
      <c r="H33" s="179"/>
      <c r="I33" s="8">
        <v>252</v>
      </c>
      <c r="J33" s="182"/>
      <c r="K33" s="6">
        <f t="shared" si="5"/>
        <v>252</v>
      </c>
      <c r="L33" s="6">
        <v>42</v>
      </c>
      <c r="M33" s="6">
        <f t="shared" si="6"/>
        <v>210</v>
      </c>
      <c r="N33" s="92">
        <v>-252</v>
      </c>
      <c r="O33" s="236"/>
      <c r="P33" s="234">
        <f t="shared" si="2"/>
        <v>26334</v>
      </c>
    </row>
    <row r="34" spans="1:17" ht="14" customHeight="1" x14ac:dyDescent="0.2">
      <c r="A34" s="121">
        <v>45061</v>
      </c>
      <c r="B34" s="71" t="s">
        <v>103</v>
      </c>
      <c r="C34" s="101" t="s">
        <v>438</v>
      </c>
      <c r="D34" s="102" t="s">
        <v>439</v>
      </c>
      <c r="E34" s="150"/>
      <c r="F34" s="83"/>
      <c r="G34" s="151" t="s">
        <v>34</v>
      </c>
      <c r="H34" s="179"/>
      <c r="I34" s="8">
        <v>112</v>
      </c>
      <c r="J34" s="182"/>
      <c r="K34" s="6">
        <f t="shared" si="5"/>
        <v>112</v>
      </c>
      <c r="L34" s="6">
        <v>0</v>
      </c>
      <c r="M34" s="6">
        <f t="shared" si="6"/>
        <v>112</v>
      </c>
      <c r="N34" s="92">
        <v>-112</v>
      </c>
      <c r="O34" s="236"/>
      <c r="P34" s="234">
        <f t="shared" si="2"/>
        <v>26222</v>
      </c>
    </row>
    <row r="35" spans="1:17" ht="14" customHeight="1" x14ac:dyDescent="0.2">
      <c r="A35" s="121">
        <v>45061</v>
      </c>
      <c r="B35" s="71" t="s">
        <v>440</v>
      </c>
      <c r="C35" s="101" t="s">
        <v>441</v>
      </c>
      <c r="D35" s="102">
        <v>26025982</v>
      </c>
      <c r="E35" s="150" t="s">
        <v>114</v>
      </c>
      <c r="F35" s="71" t="s">
        <v>601</v>
      </c>
      <c r="G35" s="151" t="s">
        <v>19</v>
      </c>
      <c r="H35" s="179"/>
      <c r="I35" s="8">
        <v>45</v>
      </c>
      <c r="J35" s="182"/>
      <c r="K35" s="6">
        <f t="shared" si="5"/>
        <v>45</v>
      </c>
      <c r="L35" s="6">
        <v>7.5</v>
      </c>
      <c r="M35" s="6">
        <f t="shared" si="6"/>
        <v>37.5</v>
      </c>
      <c r="N35" s="92">
        <v>-45</v>
      </c>
      <c r="O35" s="236"/>
      <c r="P35" s="234">
        <f t="shared" si="2"/>
        <v>26177</v>
      </c>
    </row>
    <row r="36" spans="1:17" ht="14" customHeight="1" x14ac:dyDescent="0.2">
      <c r="A36" s="121">
        <v>45061</v>
      </c>
      <c r="B36" s="71" t="s">
        <v>103</v>
      </c>
      <c r="C36" s="101" t="s">
        <v>442</v>
      </c>
      <c r="D36" s="102" t="s">
        <v>259</v>
      </c>
      <c r="E36" s="150" t="s">
        <v>114</v>
      </c>
      <c r="F36" s="83"/>
      <c r="G36" s="151" t="s">
        <v>165</v>
      </c>
      <c r="H36" s="179"/>
      <c r="I36" s="8">
        <v>15</v>
      </c>
      <c r="J36" s="182"/>
      <c r="K36" s="6">
        <f t="shared" si="5"/>
        <v>15</v>
      </c>
      <c r="L36" s="6">
        <v>0</v>
      </c>
      <c r="M36" s="6">
        <f t="shared" si="6"/>
        <v>15</v>
      </c>
      <c r="N36" s="92">
        <v>-15</v>
      </c>
      <c r="O36" s="236"/>
      <c r="P36" s="234">
        <f t="shared" si="2"/>
        <v>26162</v>
      </c>
    </row>
    <row r="37" spans="1:17" ht="14" customHeight="1" x14ac:dyDescent="0.2">
      <c r="A37" s="121">
        <v>45061</v>
      </c>
      <c r="B37" s="71" t="s">
        <v>443</v>
      </c>
      <c r="C37" s="101" t="s">
        <v>444</v>
      </c>
      <c r="D37" s="102">
        <v>15194</v>
      </c>
      <c r="E37" s="150" t="s">
        <v>114</v>
      </c>
      <c r="F37" s="71" t="s">
        <v>601</v>
      </c>
      <c r="G37" s="151" t="s">
        <v>57</v>
      </c>
      <c r="H37" s="179"/>
      <c r="I37" s="8">
        <v>907.2</v>
      </c>
      <c r="J37" s="182"/>
      <c r="K37" s="6">
        <f t="shared" si="5"/>
        <v>907.2</v>
      </c>
      <c r="L37" s="6">
        <v>151.19999999999999</v>
      </c>
      <c r="M37" s="6">
        <f t="shared" si="6"/>
        <v>756</v>
      </c>
      <c r="N37" s="92">
        <v>-907.2</v>
      </c>
      <c r="O37" s="236"/>
      <c r="P37" s="234">
        <f t="shared" si="2"/>
        <v>25254.799999999999</v>
      </c>
      <c r="Q37" s="93"/>
    </row>
    <row r="38" spans="1:17" ht="14" customHeight="1" x14ac:dyDescent="0.2">
      <c r="A38" s="121">
        <v>45065</v>
      </c>
      <c r="B38" s="219" t="s">
        <v>296</v>
      </c>
      <c r="C38" s="101" t="s">
        <v>445</v>
      </c>
      <c r="D38" s="102">
        <v>151216</v>
      </c>
      <c r="E38" s="150" t="s">
        <v>114</v>
      </c>
      <c r="F38" s="71" t="s">
        <v>601</v>
      </c>
      <c r="G38" s="151" t="s">
        <v>69</v>
      </c>
      <c r="H38" s="179"/>
      <c r="I38" s="8">
        <v>103.38</v>
      </c>
      <c r="J38" s="182"/>
      <c r="K38" s="6">
        <f t="shared" si="5"/>
        <v>103.38</v>
      </c>
      <c r="L38" s="6">
        <v>17.23</v>
      </c>
      <c r="M38" s="6">
        <f t="shared" si="6"/>
        <v>86.149999999999991</v>
      </c>
      <c r="N38" s="92">
        <v>-103.38</v>
      </c>
      <c r="O38" s="236"/>
      <c r="P38" s="234">
        <f t="shared" si="2"/>
        <v>25151.42</v>
      </c>
      <c r="Q38" s="93"/>
    </row>
    <row r="39" spans="1:17" ht="14" customHeight="1" x14ac:dyDescent="0.2">
      <c r="A39" s="121">
        <v>45068</v>
      </c>
      <c r="B39" s="71" t="s">
        <v>103</v>
      </c>
      <c r="C39" s="101" t="s">
        <v>447</v>
      </c>
      <c r="D39" s="102">
        <v>1267564</v>
      </c>
      <c r="E39" s="150" t="s">
        <v>114</v>
      </c>
      <c r="F39" s="71" t="s">
        <v>601</v>
      </c>
      <c r="G39" s="151" t="s">
        <v>69</v>
      </c>
      <c r="H39" s="179"/>
      <c r="I39" s="8">
        <v>143.88</v>
      </c>
      <c r="J39" s="182"/>
      <c r="K39" s="6">
        <f>I39</f>
        <v>143.88</v>
      </c>
      <c r="L39" s="6">
        <v>23.98</v>
      </c>
      <c r="M39" s="6">
        <f>K39-L39</f>
        <v>119.89999999999999</v>
      </c>
      <c r="N39" s="92">
        <v>-143.88</v>
      </c>
      <c r="O39" s="236"/>
      <c r="P39" s="234">
        <f t="shared" si="2"/>
        <v>25007.539999999997</v>
      </c>
      <c r="Q39" s="93"/>
    </row>
    <row r="40" spans="1:17" ht="14" customHeight="1" x14ac:dyDescent="0.2">
      <c r="A40" s="121">
        <v>45082</v>
      </c>
      <c r="B40" s="71" t="s">
        <v>103</v>
      </c>
      <c r="C40" s="101" t="s">
        <v>448</v>
      </c>
      <c r="D40" s="102" t="s">
        <v>259</v>
      </c>
      <c r="E40" s="150" t="s">
        <v>114</v>
      </c>
      <c r="F40" s="83"/>
      <c r="G40" s="151" t="s">
        <v>41</v>
      </c>
      <c r="H40" s="179"/>
      <c r="I40" s="8">
        <v>3.75</v>
      </c>
      <c r="J40" s="182"/>
      <c r="K40" s="6">
        <f>I40</f>
        <v>3.75</v>
      </c>
      <c r="L40" s="6">
        <v>0</v>
      </c>
      <c r="M40" s="6">
        <f>K40-L40</f>
        <v>3.75</v>
      </c>
      <c r="N40" s="92">
        <v>-3.75</v>
      </c>
      <c r="O40" s="236"/>
      <c r="P40" s="234">
        <f t="shared" si="2"/>
        <v>25003.789999999997</v>
      </c>
    </row>
    <row r="41" spans="1:17" ht="14" customHeight="1" x14ac:dyDescent="0.2">
      <c r="A41" s="121">
        <v>45082</v>
      </c>
      <c r="B41" s="71" t="s">
        <v>449</v>
      </c>
      <c r="C41" s="101" t="s">
        <v>450</v>
      </c>
      <c r="D41" s="102" t="s">
        <v>259</v>
      </c>
      <c r="E41" s="150" t="s">
        <v>114</v>
      </c>
      <c r="F41" s="71" t="s">
        <v>601</v>
      </c>
      <c r="G41" s="151" t="s">
        <v>19</v>
      </c>
      <c r="H41" s="179"/>
      <c r="I41" s="8">
        <v>64.900000000000006</v>
      </c>
      <c r="J41" s="182"/>
      <c r="K41" s="6">
        <f>I41</f>
        <v>64.900000000000006</v>
      </c>
      <c r="L41" s="6">
        <v>11.65</v>
      </c>
      <c r="M41" s="6">
        <f>K41-L41</f>
        <v>53.250000000000007</v>
      </c>
      <c r="N41" s="92">
        <v>-64.900000000000006</v>
      </c>
      <c r="O41" s="236"/>
      <c r="P41" s="234">
        <f t="shared" si="2"/>
        <v>24938.889999999996</v>
      </c>
    </row>
    <row r="42" spans="1:17" ht="14" customHeight="1" x14ac:dyDescent="0.2">
      <c r="A42" s="121">
        <v>45085</v>
      </c>
      <c r="B42" s="71" t="s">
        <v>265</v>
      </c>
      <c r="C42" s="101" t="s">
        <v>452</v>
      </c>
      <c r="D42" s="102" t="s">
        <v>259</v>
      </c>
      <c r="E42" s="150" t="s">
        <v>114</v>
      </c>
      <c r="F42" s="83"/>
      <c r="G42" s="151" t="s">
        <v>19</v>
      </c>
      <c r="H42" s="179"/>
      <c r="I42" s="8">
        <v>6.63</v>
      </c>
      <c r="J42" s="182"/>
      <c r="K42" s="6">
        <f>I42</f>
        <v>6.63</v>
      </c>
      <c r="L42" s="6">
        <v>0</v>
      </c>
      <c r="M42" s="6">
        <f>K42-L42</f>
        <v>6.63</v>
      </c>
      <c r="N42" s="92">
        <v>-6.63</v>
      </c>
      <c r="O42" s="236"/>
      <c r="P42" s="234">
        <f t="shared" si="2"/>
        <v>24932.259999999995</v>
      </c>
    </row>
    <row r="43" spans="1:17" ht="14" customHeight="1" x14ac:dyDescent="0.2">
      <c r="A43" s="121">
        <v>45090</v>
      </c>
      <c r="B43" s="71" t="s">
        <v>443</v>
      </c>
      <c r="C43" s="101" t="s">
        <v>453</v>
      </c>
      <c r="D43" s="102">
        <v>15259</v>
      </c>
      <c r="E43" s="150" t="s">
        <v>114</v>
      </c>
      <c r="F43" s="71" t="s">
        <v>601</v>
      </c>
      <c r="G43" s="151" t="s">
        <v>57</v>
      </c>
      <c r="H43" s="179"/>
      <c r="I43" s="8">
        <v>907.2</v>
      </c>
      <c r="J43" s="182"/>
      <c r="K43" s="6">
        <f>I43</f>
        <v>907.2</v>
      </c>
      <c r="L43" s="6">
        <v>151.19999999999999</v>
      </c>
      <c r="M43" s="6">
        <f>K43-L43</f>
        <v>756</v>
      </c>
      <c r="N43" s="92">
        <v>-907.2</v>
      </c>
      <c r="O43" s="236"/>
      <c r="P43" s="234">
        <f t="shared" si="2"/>
        <v>24025.059999999994</v>
      </c>
    </row>
    <row r="44" spans="1:17" ht="14" customHeight="1" x14ac:dyDescent="0.2">
      <c r="A44" s="121">
        <v>45092</v>
      </c>
      <c r="B44" s="71" t="s">
        <v>454</v>
      </c>
      <c r="C44" s="101" t="s">
        <v>456</v>
      </c>
      <c r="D44" s="102"/>
      <c r="E44" s="150"/>
      <c r="F44" s="83"/>
      <c r="G44" s="71" t="s">
        <v>13</v>
      </c>
      <c r="H44" s="179"/>
      <c r="I44" s="8">
        <v>62.16</v>
      </c>
      <c r="J44" s="182"/>
      <c r="K44" s="6">
        <f t="shared" ref="K44:K53" si="7">I44</f>
        <v>62.16</v>
      </c>
      <c r="L44" s="6">
        <v>0</v>
      </c>
      <c r="M44" s="6">
        <f t="shared" ref="M44:M53" si="8">K44-L44</f>
        <v>62.16</v>
      </c>
      <c r="N44" s="92">
        <v>-88.8</v>
      </c>
      <c r="O44" s="236"/>
      <c r="P44" s="234">
        <f t="shared" si="2"/>
        <v>23936.259999999995</v>
      </c>
    </row>
    <row r="45" spans="1:17" ht="14" customHeight="1" x14ac:dyDescent="0.2">
      <c r="A45" s="121">
        <v>45092</v>
      </c>
      <c r="B45" s="71" t="s">
        <v>455</v>
      </c>
      <c r="C45" s="101" t="s">
        <v>456</v>
      </c>
      <c r="D45" s="102"/>
      <c r="E45" s="150"/>
      <c r="F45" s="83"/>
      <c r="G45" s="71" t="s">
        <v>13</v>
      </c>
      <c r="H45" s="179"/>
      <c r="I45" s="8">
        <v>248.36</v>
      </c>
      <c r="J45" s="182"/>
      <c r="K45" s="6">
        <f t="shared" si="7"/>
        <v>248.36</v>
      </c>
      <c r="L45" s="6">
        <v>0</v>
      </c>
      <c r="M45" s="6">
        <f t="shared" si="8"/>
        <v>248.36</v>
      </c>
      <c r="N45" s="92">
        <v>-357.05</v>
      </c>
      <c r="O45" s="236"/>
      <c r="P45" s="234">
        <f t="shared" si="2"/>
        <v>23579.209999999995</v>
      </c>
    </row>
    <row r="46" spans="1:17" ht="14" customHeight="1" x14ac:dyDescent="0.2">
      <c r="A46" s="121">
        <v>45092</v>
      </c>
      <c r="B46" s="71" t="s">
        <v>455</v>
      </c>
      <c r="C46" s="101" t="s">
        <v>457</v>
      </c>
      <c r="D46" s="102"/>
      <c r="E46" s="150"/>
      <c r="F46" s="83"/>
      <c r="G46" s="71" t="s">
        <v>19</v>
      </c>
      <c r="H46" s="179"/>
      <c r="I46" s="8">
        <v>2.25</v>
      </c>
      <c r="J46" s="182"/>
      <c r="K46" s="6">
        <f t="shared" si="7"/>
        <v>2.25</v>
      </c>
      <c r="L46" s="6">
        <v>0</v>
      </c>
      <c r="M46" s="6">
        <f t="shared" si="8"/>
        <v>2.25</v>
      </c>
      <c r="N46" s="92"/>
      <c r="O46" s="236"/>
      <c r="P46" s="234">
        <f t="shared" si="2"/>
        <v>23579.209999999995</v>
      </c>
    </row>
    <row r="47" spans="1:17" ht="14" customHeight="1" x14ac:dyDescent="0.2">
      <c r="A47" s="121">
        <v>45092</v>
      </c>
      <c r="B47" s="71" t="s">
        <v>454</v>
      </c>
      <c r="C47" s="101" t="s">
        <v>458</v>
      </c>
      <c r="D47" s="102"/>
      <c r="E47" s="150"/>
      <c r="F47" s="83"/>
      <c r="G47" s="71" t="s">
        <v>17</v>
      </c>
      <c r="H47" s="179"/>
      <c r="I47" s="8">
        <v>26.64</v>
      </c>
      <c r="J47" s="182"/>
      <c r="K47" s="6">
        <f t="shared" si="7"/>
        <v>26.64</v>
      </c>
      <c r="L47" s="6">
        <v>0</v>
      </c>
      <c r="M47" s="6">
        <f t="shared" si="8"/>
        <v>26.64</v>
      </c>
      <c r="N47" s="92"/>
      <c r="O47" s="236"/>
      <c r="P47" s="234">
        <f t="shared" si="2"/>
        <v>23579.209999999995</v>
      </c>
    </row>
    <row r="48" spans="1:17" ht="14" customHeight="1" x14ac:dyDescent="0.2">
      <c r="A48" s="121">
        <v>45092</v>
      </c>
      <c r="B48" s="71" t="s">
        <v>455</v>
      </c>
      <c r="C48" s="101" t="s">
        <v>458</v>
      </c>
      <c r="D48" s="102"/>
      <c r="E48" s="150"/>
      <c r="F48" s="83"/>
      <c r="G48" s="71" t="s">
        <v>17</v>
      </c>
      <c r="H48" s="179"/>
      <c r="I48" s="8">
        <v>106.44</v>
      </c>
      <c r="J48" s="182"/>
      <c r="K48" s="6">
        <f t="shared" si="7"/>
        <v>106.44</v>
      </c>
      <c r="L48" s="6">
        <v>0</v>
      </c>
      <c r="M48" s="6">
        <f t="shared" si="8"/>
        <v>106.44</v>
      </c>
      <c r="N48" s="92"/>
      <c r="O48" s="236"/>
      <c r="P48" s="234">
        <f t="shared" si="2"/>
        <v>23579.209999999995</v>
      </c>
    </row>
    <row r="49" spans="1:16" ht="14" customHeight="1" x14ac:dyDescent="0.2">
      <c r="A49" s="121">
        <v>45110</v>
      </c>
      <c r="B49" s="71" t="s">
        <v>103</v>
      </c>
      <c r="C49" s="101" t="s">
        <v>459</v>
      </c>
      <c r="D49" s="102">
        <v>6896</v>
      </c>
      <c r="E49" s="150" t="s">
        <v>114</v>
      </c>
      <c r="F49" s="71" t="s">
        <v>601</v>
      </c>
      <c r="G49" s="151" t="s">
        <v>157</v>
      </c>
      <c r="H49" s="179"/>
      <c r="I49" s="8">
        <v>720</v>
      </c>
      <c r="J49" s="182"/>
      <c r="K49" s="6">
        <f t="shared" si="7"/>
        <v>720</v>
      </c>
      <c r="L49" s="6">
        <v>120</v>
      </c>
      <c r="M49" s="6">
        <f t="shared" si="8"/>
        <v>600</v>
      </c>
      <c r="N49" s="92">
        <v>-720</v>
      </c>
      <c r="O49" s="236"/>
      <c r="P49" s="234">
        <f t="shared" si="2"/>
        <v>22859.209999999995</v>
      </c>
    </row>
    <row r="50" spans="1:16" ht="14" customHeight="1" x14ac:dyDescent="0.2">
      <c r="A50" s="121">
        <v>45110</v>
      </c>
      <c r="B50" s="71" t="s">
        <v>103</v>
      </c>
      <c r="C50" s="101" t="s">
        <v>460</v>
      </c>
      <c r="D50" s="102" t="s">
        <v>461</v>
      </c>
      <c r="E50" s="150" t="s">
        <v>114</v>
      </c>
      <c r="F50" s="71" t="s">
        <v>601</v>
      </c>
      <c r="G50" s="151" t="s">
        <v>19</v>
      </c>
      <c r="H50" s="179"/>
      <c r="I50" s="8">
        <v>75.989999999999995</v>
      </c>
      <c r="J50" s="182"/>
      <c r="K50" s="6">
        <f t="shared" si="7"/>
        <v>75.989999999999995</v>
      </c>
      <c r="L50" s="6">
        <v>12.67</v>
      </c>
      <c r="M50" s="6">
        <f t="shared" si="8"/>
        <v>63.319999999999993</v>
      </c>
      <c r="N50" s="92">
        <v>-75.989999999999995</v>
      </c>
      <c r="O50" s="236"/>
      <c r="P50" s="234">
        <f t="shared" si="2"/>
        <v>22783.219999999994</v>
      </c>
    </row>
    <row r="51" spans="1:16" ht="14" customHeight="1" x14ac:dyDescent="0.2">
      <c r="A51" s="121">
        <v>45110</v>
      </c>
      <c r="B51" s="71" t="s">
        <v>103</v>
      </c>
      <c r="C51" s="101" t="s">
        <v>462</v>
      </c>
      <c r="D51" s="102" t="s">
        <v>259</v>
      </c>
      <c r="E51" s="150" t="s">
        <v>114</v>
      </c>
      <c r="F51" s="83"/>
      <c r="G51" s="151" t="s">
        <v>106</v>
      </c>
      <c r="H51" s="179"/>
      <c r="I51" s="8">
        <v>43.48</v>
      </c>
      <c r="J51" s="182"/>
      <c r="K51" s="6">
        <f t="shared" si="7"/>
        <v>43.48</v>
      </c>
      <c r="L51" s="6">
        <v>0</v>
      </c>
      <c r="M51" s="6">
        <f t="shared" si="8"/>
        <v>43.48</v>
      </c>
      <c r="N51" s="92">
        <v>-43.48</v>
      </c>
      <c r="O51" s="236"/>
      <c r="P51" s="234">
        <f t="shared" si="2"/>
        <v>22739.739999999994</v>
      </c>
    </row>
    <row r="52" spans="1:16" ht="14" customHeight="1" x14ac:dyDescent="0.2">
      <c r="A52" s="121">
        <v>45110</v>
      </c>
      <c r="B52" s="71" t="s">
        <v>463</v>
      </c>
      <c r="C52" s="101" t="s">
        <v>464</v>
      </c>
      <c r="D52" s="102">
        <v>15934</v>
      </c>
      <c r="E52" s="150" t="s">
        <v>114</v>
      </c>
      <c r="F52" s="83"/>
      <c r="G52" s="151" t="s">
        <v>106</v>
      </c>
      <c r="H52" s="179"/>
      <c r="I52" s="8">
        <v>287</v>
      </c>
      <c r="J52" s="182"/>
      <c r="K52" s="6">
        <f t="shared" si="7"/>
        <v>287</v>
      </c>
      <c r="L52" s="6">
        <v>0</v>
      </c>
      <c r="M52" s="6">
        <f t="shared" si="8"/>
        <v>287</v>
      </c>
      <c r="N52" s="92">
        <v>-287</v>
      </c>
      <c r="O52" s="236"/>
      <c r="P52" s="234">
        <f t="shared" si="2"/>
        <v>22452.739999999994</v>
      </c>
    </row>
    <row r="53" spans="1:16" ht="14" customHeight="1" x14ac:dyDescent="0.2">
      <c r="A53" s="121">
        <v>45124</v>
      </c>
      <c r="B53" s="71" t="s">
        <v>443</v>
      </c>
      <c r="C53" s="101" t="s">
        <v>465</v>
      </c>
      <c r="D53" s="102">
        <v>15310</v>
      </c>
      <c r="E53" s="150" t="s">
        <v>114</v>
      </c>
      <c r="F53" s="71" t="s">
        <v>601</v>
      </c>
      <c r="G53" s="151" t="s">
        <v>57</v>
      </c>
      <c r="H53" s="179"/>
      <c r="I53" s="8">
        <v>453.6</v>
      </c>
      <c r="J53" s="182"/>
      <c r="K53" s="6">
        <f t="shared" si="7"/>
        <v>453.6</v>
      </c>
      <c r="L53" s="6">
        <v>75.599999999999994</v>
      </c>
      <c r="M53" s="6">
        <f t="shared" si="8"/>
        <v>378</v>
      </c>
      <c r="N53" s="92">
        <v>-453.6</v>
      </c>
      <c r="O53" s="236"/>
      <c r="P53" s="234">
        <f t="shared" si="2"/>
        <v>21999.139999999996</v>
      </c>
    </row>
    <row r="54" spans="1:16" ht="14" customHeight="1" x14ac:dyDescent="0.2">
      <c r="A54" s="121">
        <v>45124</v>
      </c>
      <c r="B54" s="71" t="s">
        <v>104</v>
      </c>
      <c r="C54" s="188" t="s">
        <v>466</v>
      </c>
      <c r="D54" s="71" t="s">
        <v>467</v>
      </c>
      <c r="E54" s="150" t="s">
        <v>114</v>
      </c>
      <c r="F54" s="83"/>
      <c r="G54" s="151" t="s">
        <v>50</v>
      </c>
      <c r="H54" s="179"/>
      <c r="I54" s="8">
        <v>68.06</v>
      </c>
      <c r="J54" s="182"/>
      <c r="K54" s="6">
        <f t="shared" ref="K54:K71" si="9">I54</f>
        <v>68.06</v>
      </c>
      <c r="L54" s="6">
        <v>0</v>
      </c>
      <c r="M54" s="6">
        <f t="shared" ref="M54:M71" si="10">K54-L54</f>
        <v>68.06</v>
      </c>
      <c r="N54" s="92">
        <v>-68.06</v>
      </c>
      <c r="O54" s="236"/>
      <c r="P54" s="234">
        <f t="shared" si="2"/>
        <v>21931.079999999994</v>
      </c>
    </row>
    <row r="55" spans="1:16" ht="14" customHeight="1" x14ac:dyDescent="0.2">
      <c r="A55" s="121">
        <v>45124</v>
      </c>
      <c r="B55" s="71" t="s">
        <v>484</v>
      </c>
      <c r="C55" s="101" t="s">
        <v>468</v>
      </c>
      <c r="D55" s="102"/>
      <c r="E55" s="150"/>
      <c r="F55" s="83"/>
      <c r="G55" s="71" t="s">
        <v>13</v>
      </c>
      <c r="H55" s="179"/>
      <c r="I55" s="8">
        <v>62.16</v>
      </c>
      <c r="J55" s="182"/>
      <c r="K55" s="6">
        <f t="shared" si="9"/>
        <v>62.16</v>
      </c>
      <c r="L55" s="6">
        <v>0</v>
      </c>
      <c r="M55" s="6">
        <f t="shared" si="10"/>
        <v>62.16</v>
      </c>
      <c r="N55" s="92">
        <v>-88.8</v>
      </c>
      <c r="O55" s="236"/>
      <c r="P55" s="234">
        <f t="shared" si="2"/>
        <v>21842.279999999995</v>
      </c>
    </row>
    <row r="56" spans="1:16" ht="14" customHeight="1" x14ac:dyDescent="0.2">
      <c r="A56" s="121">
        <v>45124</v>
      </c>
      <c r="B56" s="71" t="s">
        <v>485</v>
      </c>
      <c r="C56" s="101" t="s">
        <v>468</v>
      </c>
      <c r="D56" s="102"/>
      <c r="E56" s="150"/>
      <c r="F56" s="83"/>
      <c r="G56" s="71" t="s">
        <v>13</v>
      </c>
      <c r="H56" s="179"/>
      <c r="I56" s="8">
        <v>248.36</v>
      </c>
      <c r="J56" s="182"/>
      <c r="K56" s="6">
        <f t="shared" si="9"/>
        <v>248.36</v>
      </c>
      <c r="L56" s="6">
        <v>0</v>
      </c>
      <c r="M56" s="6">
        <f t="shared" si="10"/>
        <v>248.36</v>
      </c>
      <c r="N56" s="92">
        <v>-356.6</v>
      </c>
      <c r="O56" s="236"/>
      <c r="P56" s="234">
        <f t="shared" si="2"/>
        <v>21485.679999999997</v>
      </c>
    </row>
    <row r="57" spans="1:16" ht="14" customHeight="1" x14ac:dyDescent="0.2">
      <c r="A57" s="121">
        <v>45124</v>
      </c>
      <c r="B57" s="71" t="s">
        <v>485</v>
      </c>
      <c r="C57" s="101" t="s">
        <v>469</v>
      </c>
      <c r="D57" s="102"/>
      <c r="E57" s="150"/>
      <c r="F57" s="83"/>
      <c r="G57" s="71" t="s">
        <v>19</v>
      </c>
      <c r="H57" s="179"/>
      <c r="I57" s="8">
        <v>1.8</v>
      </c>
      <c r="J57" s="182"/>
      <c r="K57" s="6">
        <f t="shared" si="9"/>
        <v>1.8</v>
      </c>
      <c r="L57" s="6">
        <v>0</v>
      </c>
      <c r="M57" s="6">
        <f t="shared" si="10"/>
        <v>1.8</v>
      </c>
      <c r="N57" s="92"/>
      <c r="O57" s="236"/>
      <c r="P57" s="234">
        <f t="shared" si="2"/>
        <v>21485.679999999997</v>
      </c>
    </row>
    <row r="58" spans="1:16" ht="14" customHeight="1" x14ac:dyDescent="0.2">
      <c r="A58" s="121">
        <v>45124</v>
      </c>
      <c r="B58" s="71" t="s">
        <v>484</v>
      </c>
      <c r="C58" s="101" t="s">
        <v>470</v>
      </c>
      <c r="D58" s="102"/>
      <c r="E58" s="150"/>
      <c r="F58" s="83"/>
      <c r="G58" s="71" t="s">
        <v>17</v>
      </c>
      <c r="H58" s="179"/>
      <c r="I58" s="8">
        <v>26.64</v>
      </c>
      <c r="J58" s="182"/>
      <c r="K58" s="6">
        <f t="shared" si="9"/>
        <v>26.64</v>
      </c>
      <c r="L58" s="6">
        <v>0</v>
      </c>
      <c r="M58" s="6">
        <f t="shared" si="10"/>
        <v>26.64</v>
      </c>
      <c r="N58" s="92"/>
      <c r="O58" s="236"/>
      <c r="P58" s="234">
        <f t="shared" si="2"/>
        <v>21485.679999999997</v>
      </c>
    </row>
    <row r="59" spans="1:16" ht="14" customHeight="1" x14ac:dyDescent="0.2">
      <c r="A59" s="121">
        <v>45124</v>
      </c>
      <c r="B59" s="71" t="s">
        <v>485</v>
      </c>
      <c r="C59" s="101" t="s">
        <v>470</v>
      </c>
      <c r="D59" s="102"/>
      <c r="E59" s="150"/>
      <c r="F59" s="83"/>
      <c r="G59" s="71" t="s">
        <v>17</v>
      </c>
      <c r="H59" s="179"/>
      <c r="I59" s="8">
        <v>106.44</v>
      </c>
      <c r="J59" s="182"/>
      <c r="K59" s="6">
        <f t="shared" si="9"/>
        <v>106.44</v>
      </c>
      <c r="L59" s="6">
        <v>0</v>
      </c>
      <c r="M59" s="6">
        <f t="shared" si="10"/>
        <v>106.44</v>
      </c>
      <c r="N59" s="92"/>
      <c r="O59" s="236"/>
      <c r="P59" s="234">
        <f t="shared" si="2"/>
        <v>21485.679999999997</v>
      </c>
    </row>
    <row r="60" spans="1:16" ht="14" customHeight="1" x14ac:dyDescent="0.2">
      <c r="A60" s="121">
        <v>45127</v>
      </c>
      <c r="B60" s="71" t="s">
        <v>121</v>
      </c>
      <c r="C60" s="101" t="s">
        <v>471</v>
      </c>
      <c r="D60" s="102">
        <v>51094</v>
      </c>
      <c r="E60" s="150" t="s">
        <v>114</v>
      </c>
      <c r="F60" s="71" t="s">
        <v>601</v>
      </c>
      <c r="G60" s="151" t="s">
        <v>172</v>
      </c>
      <c r="H60" s="179"/>
      <c r="I60" s="8">
        <v>54</v>
      </c>
      <c r="J60" s="182"/>
      <c r="K60" s="6">
        <f t="shared" si="9"/>
        <v>54</v>
      </c>
      <c r="L60" s="6">
        <v>9</v>
      </c>
      <c r="M60" s="6">
        <f t="shared" si="10"/>
        <v>45</v>
      </c>
      <c r="N60" s="92">
        <v>-54</v>
      </c>
      <c r="O60" s="236"/>
      <c r="P60" s="234">
        <f t="shared" si="2"/>
        <v>21431.679999999997</v>
      </c>
    </row>
    <row r="61" spans="1:16" ht="14" customHeight="1" x14ac:dyDescent="0.2">
      <c r="A61" s="121">
        <v>45153</v>
      </c>
      <c r="B61" s="71" t="s">
        <v>102</v>
      </c>
      <c r="C61" s="101" t="s">
        <v>472</v>
      </c>
      <c r="D61" s="102">
        <v>1583</v>
      </c>
      <c r="E61" s="150" t="s">
        <v>114</v>
      </c>
      <c r="F61" s="83"/>
      <c r="G61" s="151" t="s">
        <v>30</v>
      </c>
      <c r="H61" s="179"/>
      <c r="I61" s="8">
        <v>302.92</v>
      </c>
      <c r="J61" s="182"/>
      <c r="K61" s="6">
        <f t="shared" si="9"/>
        <v>302.92</v>
      </c>
      <c r="L61" s="6">
        <v>0</v>
      </c>
      <c r="M61" s="6">
        <f t="shared" si="10"/>
        <v>302.92</v>
      </c>
      <c r="N61" s="92">
        <v>-302.92</v>
      </c>
      <c r="O61" s="236"/>
      <c r="P61" s="234">
        <f t="shared" si="2"/>
        <v>21128.76</v>
      </c>
    </row>
    <row r="62" spans="1:16" ht="14" customHeight="1" x14ac:dyDescent="0.2">
      <c r="A62" s="121">
        <v>45153</v>
      </c>
      <c r="B62" s="71" t="s">
        <v>306</v>
      </c>
      <c r="C62" s="101" t="s">
        <v>473</v>
      </c>
      <c r="D62" s="102" t="s">
        <v>474</v>
      </c>
      <c r="E62" s="150" t="s">
        <v>114</v>
      </c>
      <c r="F62" s="83"/>
      <c r="G62" s="151" t="s">
        <v>46</v>
      </c>
      <c r="H62" s="179"/>
      <c r="I62" s="8">
        <v>201</v>
      </c>
      <c r="J62" s="182"/>
      <c r="K62" s="6">
        <f t="shared" si="9"/>
        <v>201</v>
      </c>
      <c r="L62" s="6">
        <v>0</v>
      </c>
      <c r="M62" s="6">
        <f t="shared" si="10"/>
        <v>201</v>
      </c>
      <c r="N62" s="92">
        <v>-201</v>
      </c>
      <c r="O62" s="236"/>
      <c r="P62" s="234">
        <f t="shared" si="2"/>
        <v>20927.759999999998</v>
      </c>
    </row>
    <row r="63" spans="1:16" ht="14" customHeight="1" x14ac:dyDescent="0.2">
      <c r="A63" s="121">
        <v>45153</v>
      </c>
      <c r="B63" s="71" t="s">
        <v>443</v>
      </c>
      <c r="C63" s="101" t="s">
        <v>475</v>
      </c>
      <c r="D63" s="102">
        <v>15376</v>
      </c>
      <c r="E63" s="150" t="s">
        <v>114</v>
      </c>
      <c r="F63" s="71" t="s">
        <v>601</v>
      </c>
      <c r="G63" s="151" t="s">
        <v>57</v>
      </c>
      <c r="H63" s="179"/>
      <c r="I63" s="8">
        <v>453.6</v>
      </c>
      <c r="J63" s="182"/>
      <c r="K63" s="6">
        <f t="shared" si="9"/>
        <v>453.6</v>
      </c>
      <c r="L63" s="6">
        <v>75.599999999999994</v>
      </c>
      <c r="M63" s="6">
        <f t="shared" si="10"/>
        <v>378</v>
      </c>
      <c r="N63" s="92">
        <v>-453.6</v>
      </c>
      <c r="O63" s="236"/>
      <c r="P63" s="234">
        <f t="shared" si="2"/>
        <v>20474.16</v>
      </c>
    </row>
    <row r="64" spans="1:16" ht="14" customHeight="1" x14ac:dyDescent="0.2">
      <c r="A64" s="121">
        <v>45184</v>
      </c>
      <c r="B64" s="71" t="s">
        <v>127</v>
      </c>
      <c r="C64" s="101" t="s">
        <v>476</v>
      </c>
      <c r="D64" s="102" t="s">
        <v>249</v>
      </c>
      <c r="E64" s="150" t="s">
        <v>114</v>
      </c>
      <c r="F64" s="83"/>
      <c r="G64" s="151" t="s">
        <v>4</v>
      </c>
      <c r="H64" s="179">
        <v>12500</v>
      </c>
      <c r="I64" s="8"/>
      <c r="J64" s="182"/>
      <c r="K64" s="6">
        <f t="shared" si="9"/>
        <v>0</v>
      </c>
      <c r="L64" s="6">
        <v>0</v>
      </c>
      <c r="M64" s="6">
        <f t="shared" si="10"/>
        <v>0</v>
      </c>
      <c r="N64" s="92">
        <v>12500</v>
      </c>
      <c r="O64" s="236"/>
      <c r="P64" s="234">
        <f t="shared" si="2"/>
        <v>32974.160000000003</v>
      </c>
    </row>
    <row r="65" spans="1:17" ht="14" customHeight="1" x14ac:dyDescent="0.2">
      <c r="A65" s="121">
        <v>45187</v>
      </c>
      <c r="B65" s="71" t="s">
        <v>127</v>
      </c>
      <c r="C65" s="101" t="s">
        <v>477</v>
      </c>
      <c r="D65" s="102" t="s">
        <v>249</v>
      </c>
      <c r="E65" s="150" t="s">
        <v>114</v>
      </c>
      <c r="F65" s="83"/>
      <c r="G65" s="151" t="s">
        <v>6</v>
      </c>
      <c r="H65" s="179">
        <v>17.5</v>
      </c>
      <c r="I65" s="8"/>
      <c r="J65" s="182"/>
      <c r="K65" s="6">
        <f t="shared" si="9"/>
        <v>0</v>
      </c>
      <c r="L65" s="6">
        <v>0</v>
      </c>
      <c r="M65" s="6">
        <f t="shared" si="10"/>
        <v>0</v>
      </c>
      <c r="N65" s="92">
        <v>17.5</v>
      </c>
      <c r="O65" s="236"/>
      <c r="P65" s="234">
        <f t="shared" si="2"/>
        <v>32991.660000000003</v>
      </c>
    </row>
    <row r="66" spans="1:17" ht="14" customHeight="1" x14ac:dyDescent="0.2">
      <c r="A66" s="121">
        <v>45189</v>
      </c>
      <c r="B66" s="71" t="s">
        <v>145</v>
      </c>
      <c r="C66" s="101" t="s">
        <v>478</v>
      </c>
      <c r="D66" s="102">
        <v>8181</v>
      </c>
      <c r="E66" s="150" t="s">
        <v>114</v>
      </c>
      <c r="F66" s="71" t="s">
        <v>601</v>
      </c>
      <c r="G66" s="151" t="s">
        <v>59</v>
      </c>
      <c r="H66" s="179"/>
      <c r="I66" s="8">
        <v>384</v>
      </c>
      <c r="J66" s="182"/>
      <c r="K66" s="6">
        <f t="shared" si="9"/>
        <v>384</v>
      </c>
      <c r="L66" s="6">
        <v>64</v>
      </c>
      <c r="M66" s="6">
        <f t="shared" si="10"/>
        <v>320</v>
      </c>
      <c r="N66" s="92">
        <v>-384</v>
      </c>
      <c r="O66" s="236"/>
      <c r="P66" s="234">
        <f t="shared" si="2"/>
        <v>32607.660000000003</v>
      </c>
    </row>
    <row r="67" spans="1:17" ht="14" customHeight="1" x14ac:dyDescent="0.2">
      <c r="A67" s="121">
        <v>45189</v>
      </c>
      <c r="B67" s="71" t="s">
        <v>479</v>
      </c>
      <c r="C67" s="101" t="s">
        <v>480</v>
      </c>
      <c r="D67" s="102">
        <v>8001707800</v>
      </c>
      <c r="E67" s="150" t="s">
        <v>114</v>
      </c>
      <c r="F67" s="83"/>
      <c r="G67" s="151" t="s">
        <v>49</v>
      </c>
      <c r="H67" s="179"/>
      <c r="I67" s="8">
        <v>400</v>
      </c>
      <c r="J67" s="182"/>
      <c r="K67" s="6">
        <f t="shared" si="9"/>
        <v>400</v>
      </c>
      <c r="L67" s="6">
        <v>0</v>
      </c>
      <c r="M67" s="6">
        <f t="shared" si="10"/>
        <v>400</v>
      </c>
      <c r="N67" s="92">
        <v>-400</v>
      </c>
      <c r="O67" s="236"/>
      <c r="P67" s="234">
        <f t="shared" si="2"/>
        <v>32207.660000000003</v>
      </c>
    </row>
    <row r="68" spans="1:17" ht="14" customHeight="1" x14ac:dyDescent="0.2">
      <c r="A68" s="121">
        <v>45189</v>
      </c>
      <c r="B68" s="71" t="s">
        <v>482</v>
      </c>
      <c r="C68" s="101" t="s">
        <v>560</v>
      </c>
      <c r="D68" s="102">
        <v>10</v>
      </c>
      <c r="E68" s="150" t="s">
        <v>114</v>
      </c>
      <c r="F68" s="83"/>
      <c r="G68" s="151" t="s">
        <v>165</v>
      </c>
      <c r="H68" s="179"/>
      <c r="I68" s="8">
        <v>20</v>
      </c>
      <c r="J68" s="182"/>
      <c r="K68" s="6">
        <f t="shared" si="9"/>
        <v>20</v>
      </c>
      <c r="L68" s="6">
        <v>0</v>
      </c>
      <c r="M68" s="6">
        <f t="shared" si="10"/>
        <v>20</v>
      </c>
      <c r="N68" s="92">
        <v>-20</v>
      </c>
      <c r="O68" s="236"/>
      <c r="P68" s="234">
        <f t="shared" si="2"/>
        <v>32187.660000000003</v>
      </c>
    </row>
    <row r="69" spans="1:17" ht="14" customHeight="1" x14ac:dyDescent="0.2">
      <c r="A69" s="121">
        <v>45189</v>
      </c>
      <c r="B69" s="71" t="s">
        <v>181</v>
      </c>
      <c r="C69" s="101" t="s">
        <v>483</v>
      </c>
      <c r="D69" s="102">
        <v>319548</v>
      </c>
      <c r="E69" s="150" t="s">
        <v>114</v>
      </c>
      <c r="F69" s="71" t="s">
        <v>601</v>
      </c>
      <c r="G69" s="151" t="s">
        <v>25</v>
      </c>
      <c r="H69" s="179"/>
      <c r="I69" s="8">
        <v>378</v>
      </c>
      <c r="J69" s="182"/>
      <c r="K69" s="6">
        <f t="shared" si="9"/>
        <v>378</v>
      </c>
      <c r="L69" s="6">
        <v>63</v>
      </c>
      <c r="M69" s="6">
        <f t="shared" si="10"/>
        <v>315</v>
      </c>
      <c r="N69" s="92">
        <v>-378</v>
      </c>
      <c r="O69" s="236"/>
      <c r="P69" s="234">
        <f t="shared" si="2"/>
        <v>31809.660000000003</v>
      </c>
    </row>
    <row r="70" spans="1:17" ht="14" customHeight="1" x14ac:dyDescent="0.2">
      <c r="A70" s="121">
        <v>45189</v>
      </c>
      <c r="B70" s="71" t="s">
        <v>486</v>
      </c>
      <c r="C70" s="101" t="s">
        <v>488</v>
      </c>
      <c r="D70" s="102"/>
      <c r="E70" s="150"/>
      <c r="F70" s="83"/>
      <c r="G70" s="71" t="s">
        <v>13</v>
      </c>
      <c r="H70" s="179"/>
      <c r="I70" s="8">
        <v>62.02</v>
      </c>
      <c r="J70" s="182"/>
      <c r="K70" s="6">
        <f t="shared" si="9"/>
        <v>62.02</v>
      </c>
      <c r="L70" s="6">
        <v>0</v>
      </c>
      <c r="M70" s="6">
        <f t="shared" si="10"/>
        <v>62.02</v>
      </c>
      <c r="N70" s="92">
        <v>-88.6</v>
      </c>
      <c r="O70" s="236"/>
      <c r="P70" s="234">
        <f t="shared" si="2"/>
        <v>31721.060000000005</v>
      </c>
    </row>
    <row r="71" spans="1:17" ht="14" customHeight="1" x14ac:dyDescent="0.2">
      <c r="A71" s="121">
        <v>45189</v>
      </c>
      <c r="B71" s="71" t="s">
        <v>487</v>
      </c>
      <c r="C71" s="101" t="s">
        <v>488</v>
      </c>
      <c r="D71" s="102"/>
      <c r="E71" s="150"/>
      <c r="F71" s="83"/>
      <c r="G71" s="71" t="s">
        <v>13</v>
      </c>
      <c r="H71" s="179"/>
      <c r="I71" s="8">
        <v>248.5</v>
      </c>
      <c r="J71" s="182"/>
      <c r="K71" s="6">
        <f t="shared" si="9"/>
        <v>248.5</v>
      </c>
      <c r="L71" s="6">
        <v>0</v>
      </c>
      <c r="M71" s="6">
        <f t="shared" si="10"/>
        <v>248.5</v>
      </c>
      <c r="N71" s="92">
        <v>-355</v>
      </c>
      <c r="O71" s="236"/>
      <c r="P71" s="234">
        <f t="shared" si="2"/>
        <v>31366.060000000005</v>
      </c>
    </row>
    <row r="72" spans="1:17" ht="14" customHeight="1" x14ac:dyDescent="0.2">
      <c r="A72" s="121">
        <v>45189</v>
      </c>
      <c r="B72" s="71" t="s">
        <v>487</v>
      </c>
      <c r="C72" s="101" t="s">
        <v>489</v>
      </c>
      <c r="D72" s="102"/>
      <c r="E72" s="150"/>
      <c r="F72" s="83"/>
      <c r="G72" s="71" t="s">
        <v>19</v>
      </c>
      <c r="H72" s="179"/>
      <c r="I72" s="8">
        <v>0</v>
      </c>
      <c r="J72" s="182"/>
      <c r="K72" s="6">
        <f t="shared" ref="K72:K90" si="11">I72</f>
        <v>0</v>
      </c>
      <c r="L72" s="6">
        <v>0</v>
      </c>
      <c r="M72" s="6">
        <f t="shared" ref="M72:M90" si="12">K72-L72</f>
        <v>0</v>
      </c>
      <c r="N72" s="92"/>
      <c r="O72" s="236"/>
      <c r="P72" s="234">
        <f t="shared" si="2"/>
        <v>31366.060000000005</v>
      </c>
    </row>
    <row r="73" spans="1:17" ht="14" customHeight="1" x14ac:dyDescent="0.2">
      <c r="A73" s="121">
        <v>45189</v>
      </c>
      <c r="B73" s="71" t="s">
        <v>486</v>
      </c>
      <c r="C73" s="101" t="s">
        <v>490</v>
      </c>
      <c r="D73" s="102"/>
      <c r="E73" s="150"/>
      <c r="F73" s="83"/>
      <c r="G73" s="71" t="s">
        <v>17</v>
      </c>
      <c r="H73" s="179"/>
      <c r="I73" s="8">
        <v>26.58</v>
      </c>
      <c r="J73" s="182"/>
      <c r="K73" s="6">
        <f t="shared" si="11"/>
        <v>26.58</v>
      </c>
      <c r="L73" s="6">
        <v>0</v>
      </c>
      <c r="M73" s="6">
        <f t="shared" si="12"/>
        <v>26.58</v>
      </c>
      <c r="N73" s="92"/>
      <c r="O73" s="236"/>
      <c r="P73" s="234">
        <f t="shared" si="2"/>
        <v>31366.060000000005</v>
      </c>
    </row>
    <row r="74" spans="1:17" ht="14" customHeight="1" x14ac:dyDescent="0.2">
      <c r="A74" s="121">
        <v>45189</v>
      </c>
      <c r="B74" s="71" t="s">
        <v>487</v>
      </c>
      <c r="C74" s="101" t="s">
        <v>490</v>
      </c>
      <c r="D74" s="102"/>
      <c r="E74" s="150"/>
      <c r="F74" s="83"/>
      <c r="G74" s="71" t="s">
        <v>17</v>
      </c>
      <c r="H74" s="179"/>
      <c r="I74" s="8">
        <v>106.5</v>
      </c>
      <c r="J74" s="182"/>
      <c r="K74" s="6">
        <f t="shared" si="11"/>
        <v>106.5</v>
      </c>
      <c r="L74" s="6">
        <v>0</v>
      </c>
      <c r="M74" s="6">
        <f t="shared" si="12"/>
        <v>106.5</v>
      </c>
      <c r="N74" s="92"/>
      <c r="O74" s="236"/>
      <c r="P74" s="234">
        <f t="shared" si="2"/>
        <v>31366.060000000005</v>
      </c>
    </row>
    <row r="75" spans="1:17" ht="14" customHeight="1" x14ac:dyDescent="0.2">
      <c r="A75" s="121">
        <v>45189</v>
      </c>
      <c r="B75" s="71" t="s">
        <v>494</v>
      </c>
      <c r="C75" s="101" t="s">
        <v>491</v>
      </c>
      <c r="D75" s="102"/>
      <c r="E75" s="150"/>
      <c r="F75" s="83"/>
      <c r="G75" s="71" t="s">
        <v>13</v>
      </c>
      <c r="H75" s="179"/>
      <c r="I75" s="8">
        <v>62.16</v>
      </c>
      <c r="J75" s="182"/>
      <c r="K75" s="6">
        <f t="shared" si="11"/>
        <v>62.16</v>
      </c>
      <c r="L75" s="6">
        <v>0</v>
      </c>
      <c r="M75" s="6">
        <f t="shared" si="12"/>
        <v>62.16</v>
      </c>
      <c r="N75" s="92">
        <v>-88.8</v>
      </c>
      <c r="O75" s="236"/>
      <c r="P75" s="234">
        <f t="shared" si="2"/>
        <v>31277.260000000006</v>
      </c>
    </row>
    <row r="76" spans="1:17" ht="14" customHeight="1" x14ac:dyDescent="0.2">
      <c r="A76" s="121">
        <v>45189</v>
      </c>
      <c r="B76" s="71" t="s">
        <v>495</v>
      </c>
      <c r="C76" s="101" t="s">
        <v>491</v>
      </c>
      <c r="D76" s="102"/>
      <c r="E76" s="150"/>
      <c r="F76" s="83"/>
      <c r="G76" s="71" t="s">
        <v>13</v>
      </c>
      <c r="H76" s="179"/>
      <c r="I76" s="8">
        <v>248.36</v>
      </c>
      <c r="J76" s="182"/>
      <c r="K76" s="6">
        <f t="shared" si="11"/>
        <v>248.36</v>
      </c>
      <c r="L76" s="6">
        <v>0</v>
      </c>
      <c r="M76" s="6">
        <f t="shared" si="12"/>
        <v>248.36</v>
      </c>
      <c r="N76" s="92">
        <v>-359.53</v>
      </c>
      <c r="O76" s="236"/>
      <c r="P76" s="234">
        <f t="shared" si="2"/>
        <v>30917.730000000007</v>
      </c>
    </row>
    <row r="77" spans="1:17" ht="14" customHeight="1" x14ac:dyDescent="0.2">
      <c r="A77" s="121">
        <v>45189</v>
      </c>
      <c r="B77" s="71" t="s">
        <v>495</v>
      </c>
      <c r="C77" s="101" t="s">
        <v>492</v>
      </c>
      <c r="D77" s="102"/>
      <c r="E77" s="150"/>
      <c r="F77" s="83"/>
      <c r="G77" s="71" t="s">
        <v>19</v>
      </c>
      <c r="H77" s="179"/>
      <c r="I77" s="8">
        <v>4.7300000000000004</v>
      </c>
      <c r="J77" s="182"/>
      <c r="K77" s="6">
        <f t="shared" si="11"/>
        <v>4.7300000000000004</v>
      </c>
      <c r="L77" s="6">
        <v>0</v>
      </c>
      <c r="M77" s="6">
        <f t="shared" si="12"/>
        <v>4.7300000000000004</v>
      </c>
      <c r="N77" s="92"/>
      <c r="O77" s="236"/>
      <c r="P77" s="234">
        <f t="shared" si="2"/>
        <v>30917.730000000007</v>
      </c>
    </row>
    <row r="78" spans="1:17" ht="14" customHeight="1" x14ac:dyDescent="0.2">
      <c r="A78" s="121">
        <v>45189</v>
      </c>
      <c r="B78" s="71" t="s">
        <v>494</v>
      </c>
      <c r="C78" s="101" t="s">
        <v>493</v>
      </c>
      <c r="D78" s="102"/>
      <c r="E78" s="150"/>
      <c r="F78" s="83"/>
      <c r="G78" s="71" t="s">
        <v>17</v>
      </c>
      <c r="H78" s="179"/>
      <c r="I78" s="8">
        <v>26.64</v>
      </c>
      <c r="J78" s="182"/>
      <c r="K78" s="6">
        <f t="shared" si="11"/>
        <v>26.64</v>
      </c>
      <c r="L78" s="6">
        <v>0</v>
      </c>
      <c r="M78" s="6">
        <f t="shared" si="12"/>
        <v>26.64</v>
      </c>
      <c r="N78" s="92"/>
      <c r="O78" s="236"/>
      <c r="P78" s="234">
        <f t="shared" si="2"/>
        <v>30917.730000000007</v>
      </c>
    </row>
    <row r="79" spans="1:17" ht="14" customHeight="1" x14ac:dyDescent="0.2">
      <c r="A79" s="121">
        <v>45189</v>
      </c>
      <c r="B79" s="71" t="s">
        <v>495</v>
      </c>
      <c r="C79" s="101" t="s">
        <v>493</v>
      </c>
      <c r="D79" s="102"/>
      <c r="E79" s="150"/>
      <c r="F79" s="83"/>
      <c r="G79" s="71" t="s">
        <v>17</v>
      </c>
      <c r="H79" s="179"/>
      <c r="I79" s="8">
        <v>106.44</v>
      </c>
      <c r="J79" s="182"/>
      <c r="K79" s="6">
        <f t="shared" si="11"/>
        <v>106.44</v>
      </c>
      <c r="L79" s="6">
        <v>0</v>
      </c>
      <c r="M79" s="6">
        <f t="shared" si="12"/>
        <v>106.44</v>
      </c>
      <c r="N79" s="92"/>
      <c r="O79" s="236"/>
      <c r="P79" s="234">
        <f t="shared" si="2"/>
        <v>30917.730000000007</v>
      </c>
    </row>
    <row r="80" spans="1:17" ht="14" customHeight="1" x14ac:dyDescent="0.2">
      <c r="A80" s="121">
        <v>45189</v>
      </c>
      <c r="B80" s="71" t="s">
        <v>103</v>
      </c>
      <c r="C80" s="101" t="s">
        <v>447</v>
      </c>
      <c r="D80" s="102" t="s">
        <v>496</v>
      </c>
      <c r="E80" s="150" t="s">
        <v>114</v>
      </c>
      <c r="F80" s="71" t="s">
        <v>601</v>
      </c>
      <c r="G80" s="151" t="s">
        <v>69</v>
      </c>
      <c r="H80" s="179"/>
      <c r="I80" s="8">
        <v>71.94</v>
      </c>
      <c r="J80" s="182"/>
      <c r="K80" s="6">
        <f t="shared" si="11"/>
        <v>71.94</v>
      </c>
      <c r="L80" s="6">
        <v>11.99</v>
      </c>
      <c r="M80" s="6">
        <f t="shared" si="12"/>
        <v>59.949999999999996</v>
      </c>
      <c r="N80" s="92">
        <v>-71.94</v>
      </c>
      <c r="O80" s="236"/>
      <c r="P80" s="234">
        <f t="shared" si="2"/>
        <v>30845.790000000008</v>
      </c>
      <c r="Q80" s="1" t="s">
        <v>766</v>
      </c>
    </row>
    <row r="81" spans="1:17" ht="14" customHeight="1" x14ac:dyDescent="0.2">
      <c r="A81" s="121">
        <v>45191</v>
      </c>
      <c r="B81" s="71" t="s">
        <v>127</v>
      </c>
      <c r="C81" s="101" t="s">
        <v>498</v>
      </c>
      <c r="D81" s="102" t="s">
        <v>249</v>
      </c>
      <c r="E81" s="150" t="s">
        <v>114</v>
      </c>
      <c r="F81" s="83"/>
      <c r="G81" s="151" t="s">
        <v>6</v>
      </c>
      <c r="H81" s="179">
        <v>35</v>
      </c>
      <c r="I81" s="8"/>
      <c r="J81" s="182"/>
      <c r="K81" s="6">
        <f t="shared" si="11"/>
        <v>0</v>
      </c>
      <c r="L81" s="6">
        <v>0</v>
      </c>
      <c r="M81" s="6">
        <f t="shared" si="12"/>
        <v>0</v>
      </c>
      <c r="N81" s="92">
        <v>35</v>
      </c>
      <c r="O81" s="236"/>
      <c r="P81" s="234">
        <f t="shared" si="2"/>
        <v>30880.790000000008</v>
      </c>
    </row>
    <row r="82" spans="1:17" ht="14" customHeight="1" x14ac:dyDescent="0.2">
      <c r="A82" s="121">
        <v>45194</v>
      </c>
      <c r="B82" s="71" t="s">
        <v>127</v>
      </c>
      <c r="C82" s="101" t="s">
        <v>497</v>
      </c>
      <c r="D82" s="102" t="s">
        <v>249</v>
      </c>
      <c r="E82" s="150" t="s">
        <v>114</v>
      </c>
      <c r="F82" s="83"/>
      <c r="G82" s="151" t="s">
        <v>6</v>
      </c>
      <c r="H82" s="179">
        <v>17.5</v>
      </c>
      <c r="I82" s="8"/>
      <c r="J82" s="182"/>
      <c r="K82" s="6">
        <f t="shared" si="11"/>
        <v>0</v>
      </c>
      <c r="L82" s="6">
        <v>0</v>
      </c>
      <c r="M82" s="6">
        <f t="shared" si="12"/>
        <v>0</v>
      </c>
      <c r="N82" s="92">
        <v>17.5</v>
      </c>
      <c r="O82" s="236"/>
      <c r="P82" s="234">
        <f t="shared" si="2"/>
        <v>30898.290000000008</v>
      </c>
    </row>
    <row r="83" spans="1:17" ht="14" customHeight="1" x14ac:dyDescent="0.2">
      <c r="A83" s="121">
        <v>45194</v>
      </c>
      <c r="B83" s="71" t="s">
        <v>127</v>
      </c>
      <c r="C83" s="101" t="s">
        <v>499</v>
      </c>
      <c r="D83" s="102" t="s">
        <v>249</v>
      </c>
      <c r="E83" s="150" t="s">
        <v>114</v>
      </c>
      <c r="F83" s="83"/>
      <c r="G83" s="151" t="s">
        <v>6</v>
      </c>
      <c r="H83" s="179">
        <v>17.5</v>
      </c>
      <c r="I83" s="8"/>
      <c r="J83" s="182"/>
      <c r="K83" s="6">
        <f t="shared" si="11"/>
        <v>0</v>
      </c>
      <c r="L83" s="6">
        <v>0</v>
      </c>
      <c r="M83" s="6">
        <f t="shared" si="12"/>
        <v>0</v>
      </c>
      <c r="N83" s="92">
        <v>17.5</v>
      </c>
      <c r="O83" s="236"/>
      <c r="P83" s="234">
        <f t="shared" si="2"/>
        <v>30915.790000000008</v>
      </c>
    </row>
    <row r="84" spans="1:17" ht="14" customHeight="1" x14ac:dyDescent="0.2">
      <c r="A84" s="121">
        <v>45194</v>
      </c>
      <c r="B84" s="71" t="s">
        <v>443</v>
      </c>
      <c r="C84" s="101" t="s">
        <v>500</v>
      </c>
      <c r="D84" s="102">
        <v>15443</v>
      </c>
      <c r="E84" s="150" t="s">
        <v>114</v>
      </c>
      <c r="F84" s="71" t="s">
        <v>601</v>
      </c>
      <c r="G84" s="151" t="s">
        <v>57</v>
      </c>
      <c r="H84" s="179"/>
      <c r="I84" s="8">
        <v>453.6</v>
      </c>
      <c r="J84" s="182"/>
      <c r="K84" s="6">
        <f t="shared" si="11"/>
        <v>453.6</v>
      </c>
      <c r="L84" s="6">
        <v>75.599999999999994</v>
      </c>
      <c r="M84" s="6">
        <f t="shared" si="12"/>
        <v>378</v>
      </c>
      <c r="N84" s="92">
        <v>-453.6</v>
      </c>
      <c r="O84" s="236"/>
      <c r="P84" s="234">
        <f t="shared" si="2"/>
        <v>30462.19000000001</v>
      </c>
    </row>
    <row r="85" spans="1:17" ht="14" customHeight="1" x14ac:dyDescent="0.2">
      <c r="A85" s="121">
        <v>45194</v>
      </c>
      <c r="B85" s="71" t="s">
        <v>127</v>
      </c>
      <c r="C85" s="101" t="s">
        <v>501</v>
      </c>
      <c r="D85" s="102" t="s">
        <v>249</v>
      </c>
      <c r="E85" s="150" t="s">
        <v>114</v>
      </c>
      <c r="F85" s="83"/>
      <c r="G85" s="151" t="s">
        <v>6</v>
      </c>
      <c r="H85" s="179">
        <v>8.75</v>
      </c>
      <c r="I85" s="8"/>
      <c r="J85" s="182"/>
      <c r="K85" s="6">
        <f t="shared" si="11"/>
        <v>0</v>
      </c>
      <c r="L85" s="6">
        <v>0</v>
      </c>
      <c r="M85" s="6">
        <f t="shared" si="12"/>
        <v>0</v>
      </c>
      <c r="N85" s="92">
        <v>8.75</v>
      </c>
      <c r="O85" s="236"/>
      <c r="P85" s="234">
        <f t="shared" si="2"/>
        <v>30470.94000000001</v>
      </c>
    </row>
    <row r="86" spans="1:17" ht="14" customHeight="1" x14ac:dyDescent="0.2">
      <c r="A86" s="121">
        <v>45194</v>
      </c>
      <c r="B86" s="71" t="s">
        <v>127</v>
      </c>
      <c r="C86" s="101" t="s">
        <v>502</v>
      </c>
      <c r="D86" s="102" t="s">
        <v>249</v>
      </c>
      <c r="E86" s="150" t="s">
        <v>114</v>
      </c>
      <c r="F86" s="83"/>
      <c r="G86" s="151" t="s">
        <v>6</v>
      </c>
      <c r="H86" s="179">
        <v>17.5</v>
      </c>
      <c r="I86" s="8"/>
      <c r="J86" s="182"/>
      <c r="K86" s="6">
        <f t="shared" si="11"/>
        <v>0</v>
      </c>
      <c r="L86" s="6">
        <v>0</v>
      </c>
      <c r="M86" s="6">
        <f t="shared" si="12"/>
        <v>0</v>
      </c>
      <c r="N86" s="92">
        <v>17.5</v>
      </c>
      <c r="O86" s="236"/>
      <c r="P86" s="234">
        <f t="shared" si="2"/>
        <v>30488.44000000001</v>
      </c>
    </row>
    <row r="87" spans="1:17" ht="14" customHeight="1" x14ac:dyDescent="0.2">
      <c r="A87" s="121">
        <v>45196</v>
      </c>
      <c r="B87" s="71" t="s">
        <v>503</v>
      </c>
      <c r="C87" s="101" t="s">
        <v>504</v>
      </c>
      <c r="D87" s="102" t="s">
        <v>249</v>
      </c>
      <c r="E87" s="150" t="s">
        <v>114</v>
      </c>
      <c r="F87" s="83"/>
      <c r="G87" s="151" t="s">
        <v>21</v>
      </c>
      <c r="H87" s="179"/>
      <c r="I87" s="8">
        <v>35</v>
      </c>
      <c r="J87" s="182"/>
      <c r="K87" s="6">
        <f t="shared" si="11"/>
        <v>35</v>
      </c>
      <c r="L87" s="6">
        <v>0</v>
      </c>
      <c r="M87" s="6">
        <f t="shared" si="12"/>
        <v>35</v>
      </c>
      <c r="N87" s="92">
        <v>-35</v>
      </c>
      <c r="O87" s="236"/>
      <c r="P87" s="234">
        <f t="shared" si="2"/>
        <v>30453.44000000001</v>
      </c>
    </row>
    <row r="88" spans="1:17" ht="14" customHeight="1" x14ac:dyDescent="0.2">
      <c r="A88" s="121">
        <v>45196</v>
      </c>
      <c r="B88" s="71" t="s">
        <v>127</v>
      </c>
      <c r="C88" s="101" t="s">
        <v>505</v>
      </c>
      <c r="D88" s="102" t="s">
        <v>249</v>
      </c>
      <c r="E88" s="150" t="s">
        <v>114</v>
      </c>
      <c r="F88" s="83"/>
      <c r="G88" s="151" t="s">
        <v>6</v>
      </c>
      <c r="H88" s="179">
        <v>17.5</v>
      </c>
      <c r="I88" s="8"/>
      <c r="J88" s="182"/>
      <c r="K88" s="6">
        <f t="shared" si="11"/>
        <v>0</v>
      </c>
      <c r="L88" s="6">
        <v>0</v>
      </c>
      <c r="M88" s="6">
        <f t="shared" si="12"/>
        <v>0</v>
      </c>
      <c r="N88" s="92">
        <v>17.5</v>
      </c>
      <c r="O88" s="236"/>
      <c r="P88" s="234">
        <f t="shared" si="2"/>
        <v>30470.94000000001</v>
      </c>
    </row>
    <row r="89" spans="1:17" ht="14" customHeight="1" x14ac:dyDescent="0.2">
      <c r="A89" s="121">
        <v>45196</v>
      </c>
      <c r="B89" s="71" t="s">
        <v>127</v>
      </c>
      <c r="C89" s="101" t="s">
        <v>506</v>
      </c>
      <c r="D89" s="102" t="s">
        <v>249</v>
      </c>
      <c r="E89" s="150" t="s">
        <v>114</v>
      </c>
      <c r="F89" s="83"/>
      <c r="G89" s="151" t="s">
        <v>6</v>
      </c>
      <c r="H89" s="179">
        <v>17.5</v>
      </c>
      <c r="I89" s="8"/>
      <c r="J89" s="182"/>
      <c r="K89" s="6">
        <f t="shared" si="11"/>
        <v>0</v>
      </c>
      <c r="L89" s="6">
        <v>0</v>
      </c>
      <c r="M89" s="6">
        <f t="shared" si="12"/>
        <v>0</v>
      </c>
      <c r="N89" s="92">
        <v>17.5</v>
      </c>
      <c r="O89" s="236"/>
      <c r="P89" s="234">
        <f t="shared" si="2"/>
        <v>30488.44000000001</v>
      </c>
    </row>
    <row r="90" spans="1:17" ht="14" customHeight="1" x14ac:dyDescent="0.2">
      <c r="A90" s="121">
        <v>45204</v>
      </c>
      <c r="B90" s="71" t="s">
        <v>127</v>
      </c>
      <c r="C90" s="101" t="s">
        <v>501</v>
      </c>
      <c r="D90" s="102" t="s">
        <v>249</v>
      </c>
      <c r="E90" s="150" t="s">
        <v>114</v>
      </c>
      <c r="F90" s="83"/>
      <c r="G90" s="151" t="s">
        <v>6</v>
      </c>
      <c r="H90" s="179">
        <v>8.75</v>
      </c>
      <c r="I90" s="8"/>
      <c r="J90" s="182"/>
      <c r="K90" s="6">
        <f t="shared" si="11"/>
        <v>0</v>
      </c>
      <c r="L90" s="6">
        <v>0</v>
      </c>
      <c r="M90" s="6">
        <f t="shared" si="12"/>
        <v>0</v>
      </c>
      <c r="N90" s="92">
        <v>8.75</v>
      </c>
      <c r="O90" s="236"/>
      <c r="P90" s="234">
        <f t="shared" si="2"/>
        <v>30497.19000000001</v>
      </c>
    </row>
    <row r="91" spans="1:17" ht="14" customHeight="1" x14ac:dyDescent="0.2">
      <c r="A91" s="121">
        <v>45204</v>
      </c>
      <c r="B91" s="71" t="s">
        <v>127</v>
      </c>
      <c r="C91" s="101" t="s">
        <v>508</v>
      </c>
      <c r="D91" s="102" t="s">
        <v>249</v>
      </c>
      <c r="E91" s="150" t="s">
        <v>114</v>
      </c>
      <c r="F91" s="83"/>
      <c r="G91" s="151" t="s">
        <v>6</v>
      </c>
      <c r="H91" s="179">
        <v>87.5</v>
      </c>
      <c r="I91" s="8"/>
      <c r="J91" s="182"/>
      <c r="K91" s="6">
        <f>I91</f>
        <v>0</v>
      </c>
      <c r="L91" s="6">
        <v>0</v>
      </c>
      <c r="M91" s="6">
        <f>K91-L91</f>
        <v>0</v>
      </c>
      <c r="N91" s="92">
        <v>87.5</v>
      </c>
      <c r="O91" s="236"/>
      <c r="P91" s="234">
        <f t="shared" si="2"/>
        <v>30584.69000000001</v>
      </c>
    </row>
    <row r="92" spans="1:17" ht="14" customHeight="1" x14ac:dyDescent="0.2">
      <c r="A92" s="121">
        <v>45215</v>
      </c>
      <c r="B92" s="71" t="s">
        <v>526</v>
      </c>
      <c r="C92" s="101" t="s">
        <v>528</v>
      </c>
      <c r="D92" s="102"/>
      <c r="E92" s="150"/>
      <c r="F92" s="83"/>
      <c r="G92" s="71" t="s">
        <v>13</v>
      </c>
      <c r="H92" s="179"/>
      <c r="I92" s="8">
        <v>62.02</v>
      </c>
      <c r="J92" s="182"/>
      <c r="K92" s="6">
        <f t="shared" ref="K92:K110" si="13">I92</f>
        <v>62.02</v>
      </c>
      <c r="L92" s="6">
        <v>0</v>
      </c>
      <c r="M92" s="6">
        <f t="shared" ref="M92:M110" si="14">K92-L92</f>
        <v>62.02</v>
      </c>
      <c r="N92" s="92">
        <v>-88.6</v>
      </c>
      <c r="O92" s="236"/>
      <c r="P92" s="234">
        <f t="shared" si="2"/>
        <v>30496.090000000011</v>
      </c>
      <c r="Q92" s="93"/>
    </row>
    <row r="93" spans="1:17" ht="14" customHeight="1" x14ac:dyDescent="0.2">
      <c r="A93" s="121">
        <v>45215</v>
      </c>
      <c r="B93" s="71" t="s">
        <v>527</v>
      </c>
      <c r="C93" s="101" t="s">
        <v>528</v>
      </c>
      <c r="D93" s="102"/>
      <c r="E93" s="150"/>
      <c r="F93" s="83"/>
      <c r="G93" s="71" t="s">
        <v>13</v>
      </c>
      <c r="H93" s="179"/>
      <c r="I93" s="8">
        <v>248.5</v>
      </c>
      <c r="J93" s="182"/>
      <c r="K93" s="6">
        <f t="shared" si="13"/>
        <v>248.5</v>
      </c>
      <c r="L93" s="6">
        <v>0</v>
      </c>
      <c r="M93" s="6">
        <f t="shared" si="14"/>
        <v>248.5</v>
      </c>
      <c r="N93" s="92">
        <v>-358.38</v>
      </c>
      <c r="O93" s="236"/>
      <c r="P93" s="234">
        <f t="shared" si="2"/>
        <v>30137.71000000001</v>
      </c>
      <c r="Q93" s="93"/>
    </row>
    <row r="94" spans="1:17" ht="14" customHeight="1" x14ac:dyDescent="0.2">
      <c r="A94" s="121">
        <v>45215</v>
      </c>
      <c r="B94" s="71" t="s">
        <v>527</v>
      </c>
      <c r="C94" s="101" t="s">
        <v>536</v>
      </c>
      <c r="D94" s="102"/>
      <c r="E94" s="150"/>
      <c r="F94" s="83"/>
      <c r="G94" s="71" t="s">
        <v>19</v>
      </c>
      <c r="H94" s="179"/>
      <c r="I94" s="8">
        <v>3.38</v>
      </c>
      <c r="J94" s="182"/>
      <c r="K94" s="6">
        <f t="shared" si="13"/>
        <v>3.38</v>
      </c>
      <c r="L94" s="6">
        <v>0</v>
      </c>
      <c r="M94" s="6">
        <f t="shared" si="14"/>
        <v>3.38</v>
      </c>
      <c r="N94" s="92"/>
      <c r="O94" s="236"/>
      <c r="P94" s="234">
        <f t="shared" si="2"/>
        <v>30137.71000000001</v>
      </c>
      <c r="Q94" s="93"/>
    </row>
    <row r="95" spans="1:17" ht="14" customHeight="1" x14ac:dyDescent="0.2">
      <c r="A95" s="121">
        <v>45215</v>
      </c>
      <c r="B95" s="71" t="s">
        <v>526</v>
      </c>
      <c r="C95" s="101" t="s">
        <v>529</v>
      </c>
      <c r="D95" s="102"/>
      <c r="E95" s="150"/>
      <c r="F95" s="83"/>
      <c r="G95" s="71" t="s">
        <v>17</v>
      </c>
      <c r="H95" s="179"/>
      <c r="I95" s="8">
        <v>26.58</v>
      </c>
      <c r="J95" s="182"/>
      <c r="K95" s="6">
        <f t="shared" si="13"/>
        <v>26.58</v>
      </c>
      <c r="L95" s="6">
        <v>0</v>
      </c>
      <c r="M95" s="6">
        <f t="shared" si="14"/>
        <v>26.58</v>
      </c>
      <c r="N95" s="92"/>
      <c r="O95" s="236"/>
      <c r="P95" s="234">
        <f t="shared" si="2"/>
        <v>30137.71000000001</v>
      </c>
      <c r="Q95" s="93"/>
    </row>
    <row r="96" spans="1:17" ht="14" customHeight="1" x14ac:dyDescent="0.2">
      <c r="A96" s="121">
        <v>45215</v>
      </c>
      <c r="B96" s="71" t="s">
        <v>527</v>
      </c>
      <c r="C96" s="101" t="s">
        <v>529</v>
      </c>
      <c r="D96" s="102"/>
      <c r="E96" s="150"/>
      <c r="F96" s="83"/>
      <c r="G96" s="71" t="s">
        <v>17</v>
      </c>
      <c r="H96" s="179"/>
      <c r="I96" s="8">
        <v>106.5</v>
      </c>
      <c r="J96" s="182"/>
      <c r="K96" s="6">
        <f t="shared" si="13"/>
        <v>106.5</v>
      </c>
      <c r="L96" s="6">
        <v>0</v>
      </c>
      <c r="M96" s="6">
        <f t="shared" si="14"/>
        <v>106.5</v>
      </c>
      <c r="N96" s="92"/>
      <c r="O96" s="236"/>
      <c r="P96" s="234">
        <f t="shared" si="2"/>
        <v>30137.71000000001</v>
      </c>
      <c r="Q96" s="93"/>
    </row>
    <row r="97" spans="1:17" ht="14" customHeight="1" x14ac:dyDescent="0.2">
      <c r="A97" s="121">
        <v>45216</v>
      </c>
      <c r="B97" s="71" t="s">
        <v>127</v>
      </c>
      <c r="C97" s="101" t="s">
        <v>510</v>
      </c>
      <c r="D97" s="102"/>
      <c r="E97" s="150"/>
      <c r="F97" s="83"/>
      <c r="G97" s="151" t="s">
        <v>6</v>
      </c>
      <c r="H97" s="179">
        <v>17.5</v>
      </c>
      <c r="I97" s="8"/>
      <c r="J97" s="182"/>
      <c r="K97" s="6">
        <f t="shared" si="13"/>
        <v>0</v>
      </c>
      <c r="L97" s="6">
        <v>0</v>
      </c>
      <c r="M97" s="6">
        <f t="shared" si="14"/>
        <v>0</v>
      </c>
      <c r="N97" s="92">
        <v>17.5</v>
      </c>
      <c r="O97" s="236"/>
      <c r="P97" s="234">
        <f t="shared" si="2"/>
        <v>30155.21000000001</v>
      </c>
      <c r="Q97" s="93"/>
    </row>
    <row r="98" spans="1:17" ht="14" customHeight="1" x14ac:dyDescent="0.2">
      <c r="A98" s="121">
        <v>45217</v>
      </c>
      <c r="B98" s="71" t="s">
        <v>127</v>
      </c>
      <c r="C98" s="101" t="s">
        <v>509</v>
      </c>
      <c r="D98" s="102"/>
      <c r="E98" s="150"/>
      <c r="F98" s="83"/>
      <c r="G98" s="151" t="s">
        <v>6</v>
      </c>
      <c r="H98" s="179">
        <v>17.5</v>
      </c>
      <c r="I98" s="8"/>
      <c r="J98" s="182"/>
      <c r="K98" s="6">
        <f t="shared" si="13"/>
        <v>0</v>
      </c>
      <c r="L98" s="6">
        <v>0</v>
      </c>
      <c r="M98" s="6">
        <f t="shared" si="14"/>
        <v>0</v>
      </c>
      <c r="N98" s="92">
        <v>17.5</v>
      </c>
      <c r="O98" s="236"/>
      <c r="P98" s="234">
        <f t="shared" si="2"/>
        <v>30172.71000000001</v>
      </c>
      <c r="Q98" s="93"/>
    </row>
    <row r="99" spans="1:17" ht="14" customHeight="1" x14ac:dyDescent="0.2">
      <c r="A99" s="121">
        <v>45219</v>
      </c>
      <c r="B99" s="71" t="s">
        <v>104</v>
      </c>
      <c r="C99" s="188" t="s">
        <v>511</v>
      </c>
      <c r="D99" s="102">
        <v>3505005</v>
      </c>
      <c r="E99" s="150" t="s">
        <v>114</v>
      </c>
      <c r="F99" s="83"/>
      <c r="G99" s="151" t="s">
        <v>50</v>
      </c>
      <c r="H99" s="179"/>
      <c r="I99" s="8">
        <v>84.4</v>
      </c>
      <c r="J99" s="182"/>
      <c r="K99" s="6">
        <f t="shared" si="13"/>
        <v>84.4</v>
      </c>
      <c r="L99" s="6">
        <v>0</v>
      </c>
      <c r="M99" s="6">
        <f t="shared" si="14"/>
        <v>84.4</v>
      </c>
      <c r="N99" s="92">
        <v>-84.4</v>
      </c>
      <c r="O99" s="236"/>
      <c r="P99" s="234">
        <f t="shared" si="2"/>
        <v>30088.310000000009</v>
      </c>
      <c r="Q99" s="93"/>
    </row>
    <row r="100" spans="1:17" ht="14" customHeight="1" x14ac:dyDescent="0.2">
      <c r="A100" s="121">
        <v>45219</v>
      </c>
      <c r="B100" s="71" t="s">
        <v>443</v>
      </c>
      <c r="C100" s="101" t="s">
        <v>558</v>
      </c>
      <c r="D100" s="102">
        <v>15507</v>
      </c>
      <c r="E100" s="150" t="s">
        <v>114</v>
      </c>
      <c r="F100" s="71" t="s">
        <v>601</v>
      </c>
      <c r="G100" s="151" t="s">
        <v>57</v>
      </c>
      <c r="H100" s="179"/>
      <c r="I100" s="8">
        <v>597.6</v>
      </c>
      <c r="J100" s="182"/>
      <c r="K100" s="6">
        <f t="shared" si="13"/>
        <v>597.6</v>
      </c>
      <c r="L100" s="6">
        <v>99.6</v>
      </c>
      <c r="M100" s="6">
        <f t="shared" si="14"/>
        <v>498</v>
      </c>
      <c r="N100" s="92">
        <v>-597.6</v>
      </c>
      <c r="O100" s="236"/>
      <c r="P100" s="234">
        <f t="shared" si="2"/>
        <v>29490.71000000001</v>
      </c>
      <c r="Q100" s="93"/>
    </row>
    <row r="101" spans="1:17" ht="14" customHeight="1" x14ac:dyDescent="0.2">
      <c r="A101" s="121">
        <v>45223</v>
      </c>
      <c r="B101" s="71" t="s">
        <v>127</v>
      </c>
      <c r="C101" s="101" t="s">
        <v>516</v>
      </c>
      <c r="D101" s="102" t="s">
        <v>249</v>
      </c>
      <c r="E101" s="150" t="s">
        <v>114</v>
      </c>
      <c r="F101" s="83"/>
      <c r="G101" s="151" t="s">
        <v>6</v>
      </c>
      <c r="H101" s="179">
        <v>35</v>
      </c>
      <c r="I101" s="8"/>
      <c r="J101" s="182"/>
      <c r="K101" s="6">
        <f t="shared" si="13"/>
        <v>0</v>
      </c>
      <c r="L101" s="6">
        <v>0</v>
      </c>
      <c r="M101" s="6">
        <f t="shared" si="14"/>
        <v>0</v>
      </c>
      <c r="N101" s="92">
        <v>35</v>
      </c>
      <c r="O101" s="236"/>
      <c r="P101" s="234">
        <f t="shared" si="2"/>
        <v>29525.71000000001</v>
      </c>
      <c r="Q101" s="93"/>
    </row>
    <row r="102" spans="1:17" ht="14" customHeight="1" x14ac:dyDescent="0.2">
      <c r="A102" s="121">
        <v>45225</v>
      </c>
      <c r="B102" s="71" t="s">
        <v>127</v>
      </c>
      <c r="C102" s="101" t="s">
        <v>512</v>
      </c>
      <c r="D102" s="102" t="s">
        <v>249</v>
      </c>
      <c r="E102" s="150" t="s">
        <v>114</v>
      </c>
      <c r="F102" s="83"/>
      <c r="G102" s="151" t="s">
        <v>8</v>
      </c>
      <c r="H102" s="179">
        <v>9000</v>
      </c>
      <c r="I102" s="8"/>
      <c r="J102" s="182"/>
      <c r="K102" s="6">
        <f t="shared" si="13"/>
        <v>0</v>
      </c>
      <c r="L102" s="6">
        <v>0</v>
      </c>
      <c r="M102" s="6">
        <f t="shared" si="14"/>
        <v>0</v>
      </c>
      <c r="N102" s="92">
        <v>9000</v>
      </c>
      <c r="O102" s="236"/>
      <c r="P102" s="234">
        <f t="shared" si="2"/>
        <v>38525.710000000006</v>
      </c>
      <c r="Q102" s="93"/>
    </row>
    <row r="103" spans="1:17" ht="14" customHeight="1" x14ac:dyDescent="0.2">
      <c r="A103" s="121">
        <v>45226</v>
      </c>
      <c r="B103" s="71" t="s">
        <v>513</v>
      </c>
      <c r="C103" s="101" t="s">
        <v>561</v>
      </c>
      <c r="D103" s="102" t="s">
        <v>332</v>
      </c>
      <c r="E103" s="150" t="s">
        <v>114</v>
      </c>
      <c r="F103" s="83"/>
      <c r="G103" s="151" t="s">
        <v>165</v>
      </c>
      <c r="H103" s="179"/>
      <c r="I103" s="8">
        <v>238.55</v>
      </c>
      <c r="J103" s="182"/>
      <c r="K103" s="6">
        <f t="shared" si="13"/>
        <v>238.55</v>
      </c>
      <c r="L103" s="6">
        <v>0</v>
      </c>
      <c r="M103" s="6">
        <f t="shared" si="14"/>
        <v>238.55</v>
      </c>
      <c r="N103" s="92">
        <v>-238.55</v>
      </c>
      <c r="O103" s="236"/>
      <c r="P103" s="234">
        <f t="shared" si="2"/>
        <v>38287.160000000003</v>
      </c>
      <c r="Q103" s="93"/>
    </row>
    <row r="104" spans="1:17" ht="14" customHeight="1" x14ac:dyDescent="0.2">
      <c r="A104" s="121">
        <v>45226</v>
      </c>
      <c r="B104" s="71" t="s">
        <v>463</v>
      </c>
      <c r="C104" s="101" t="s">
        <v>514</v>
      </c>
      <c r="D104" s="102">
        <v>16205</v>
      </c>
      <c r="E104" s="150"/>
      <c r="F104" s="83"/>
      <c r="G104" s="151" t="s">
        <v>106</v>
      </c>
      <c r="H104" s="179"/>
      <c r="I104" s="8">
        <v>342</v>
      </c>
      <c r="J104" s="182"/>
      <c r="K104" s="6">
        <f t="shared" si="13"/>
        <v>342</v>
      </c>
      <c r="L104" s="6">
        <v>0</v>
      </c>
      <c r="M104" s="6">
        <f t="shared" si="14"/>
        <v>342</v>
      </c>
      <c r="N104" s="92">
        <v>-342</v>
      </c>
      <c r="O104" s="236"/>
      <c r="P104" s="234">
        <f t="shared" si="2"/>
        <v>37945.160000000003</v>
      </c>
      <c r="Q104" s="93"/>
    </row>
    <row r="105" spans="1:17" ht="14" customHeight="1" x14ac:dyDescent="0.2">
      <c r="A105" s="121">
        <v>45226</v>
      </c>
      <c r="B105" s="71" t="s">
        <v>513</v>
      </c>
      <c r="C105" s="101" t="s">
        <v>562</v>
      </c>
      <c r="D105" s="102" t="s">
        <v>332</v>
      </c>
      <c r="E105" s="150" t="s">
        <v>114</v>
      </c>
      <c r="F105" s="71" t="s">
        <v>601</v>
      </c>
      <c r="G105" s="151" t="s">
        <v>165</v>
      </c>
      <c r="H105" s="179"/>
      <c r="I105" s="8">
        <v>24.42</v>
      </c>
      <c r="J105" s="182"/>
      <c r="K105" s="6">
        <f t="shared" si="13"/>
        <v>24.42</v>
      </c>
      <c r="L105" s="6">
        <v>4.08</v>
      </c>
      <c r="M105" s="6">
        <f t="shared" si="14"/>
        <v>20.340000000000003</v>
      </c>
      <c r="N105" s="92">
        <v>-24.42</v>
      </c>
      <c r="O105" s="236"/>
      <c r="P105" s="234">
        <f t="shared" si="2"/>
        <v>37920.740000000005</v>
      </c>
      <c r="Q105" s="93"/>
    </row>
    <row r="106" spans="1:17" ht="14" customHeight="1" x14ac:dyDescent="0.2">
      <c r="A106" s="121">
        <v>45226</v>
      </c>
      <c r="B106" s="71" t="s">
        <v>145</v>
      </c>
      <c r="C106" s="101" t="s">
        <v>515</v>
      </c>
      <c r="D106" s="102">
        <v>8229</v>
      </c>
      <c r="E106" s="150" t="s">
        <v>114</v>
      </c>
      <c r="F106" s="71" t="s">
        <v>601</v>
      </c>
      <c r="G106" s="151" t="s">
        <v>74</v>
      </c>
      <c r="H106" s="179"/>
      <c r="I106" s="8">
        <v>13668</v>
      </c>
      <c r="J106" s="182"/>
      <c r="K106" s="6">
        <f t="shared" si="13"/>
        <v>13668</v>
      </c>
      <c r="L106" s="6">
        <v>2278</v>
      </c>
      <c r="M106" s="6">
        <f t="shared" si="14"/>
        <v>11390</v>
      </c>
      <c r="N106" s="92">
        <v>-13668</v>
      </c>
      <c r="O106" s="236"/>
      <c r="P106" s="234">
        <f t="shared" si="2"/>
        <v>24252.740000000005</v>
      </c>
      <c r="Q106" s="93"/>
    </row>
    <row r="107" spans="1:17" ht="14" customHeight="1" x14ac:dyDescent="0.2">
      <c r="A107" s="121">
        <v>45229</v>
      </c>
      <c r="B107" s="71" t="s">
        <v>127</v>
      </c>
      <c r="C107" s="101" t="s">
        <v>517</v>
      </c>
      <c r="D107" s="102" t="s">
        <v>249</v>
      </c>
      <c r="E107" s="150"/>
      <c r="F107" s="83"/>
      <c r="G107" s="151" t="s">
        <v>6</v>
      </c>
      <c r="H107" s="179">
        <v>17.5</v>
      </c>
      <c r="I107" s="8"/>
      <c r="J107" s="182"/>
      <c r="K107" s="6">
        <f t="shared" si="13"/>
        <v>0</v>
      </c>
      <c r="L107" s="6">
        <v>0</v>
      </c>
      <c r="M107" s="6">
        <f t="shared" si="14"/>
        <v>0</v>
      </c>
      <c r="N107" s="92">
        <v>17.5</v>
      </c>
      <c r="O107" s="236"/>
      <c r="P107" s="234">
        <f t="shared" si="2"/>
        <v>24270.240000000005</v>
      </c>
      <c r="Q107" s="93"/>
    </row>
    <row r="108" spans="1:17" ht="14" customHeight="1" x14ac:dyDescent="0.2">
      <c r="A108" s="121">
        <v>45229</v>
      </c>
      <c r="B108" s="71" t="s">
        <v>127</v>
      </c>
      <c r="C108" s="101" t="s">
        <v>518</v>
      </c>
      <c r="D108" s="102" t="s">
        <v>249</v>
      </c>
      <c r="E108" s="150"/>
      <c r="F108" s="83"/>
      <c r="G108" s="151" t="s">
        <v>6</v>
      </c>
      <c r="H108" s="179">
        <v>17.5</v>
      </c>
      <c r="I108" s="8"/>
      <c r="J108" s="182"/>
      <c r="K108" s="6">
        <f t="shared" si="13"/>
        <v>0</v>
      </c>
      <c r="L108" s="6">
        <v>0</v>
      </c>
      <c r="M108" s="6">
        <f t="shared" si="14"/>
        <v>0</v>
      </c>
      <c r="N108" s="92">
        <v>17.5</v>
      </c>
      <c r="O108" s="236"/>
      <c r="P108" s="234">
        <f t="shared" si="2"/>
        <v>24287.740000000005</v>
      </c>
      <c r="Q108" s="93"/>
    </row>
    <row r="109" spans="1:17" ht="14" customHeight="1" x14ac:dyDescent="0.2">
      <c r="A109" s="121">
        <v>45230</v>
      </c>
      <c r="B109" s="71" t="s">
        <v>513</v>
      </c>
      <c r="C109" s="101" t="s">
        <v>563</v>
      </c>
      <c r="D109" s="102" t="s">
        <v>332</v>
      </c>
      <c r="E109" s="150" t="s">
        <v>114</v>
      </c>
      <c r="F109" s="71" t="s">
        <v>601</v>
      </c>
      <c r="G109" s="151" t="s">
        <v>165</v>
      </c>
      <c r="H109" s="179"/>
      <c r="I109" s="8">
        <v>80.83</v>
      </c>
      <c r="J109" s="182"/>
      <c r="K109" s="6">
        <f t="shared" si="13"/>
        <v>80.83</v>
      </c>
      <c r="L109" s="6">
        <v>2</v>
      </c>
      <c r="M109" s="6">
        <f t="shared" si="14"/>
        <v>78.83</v>
      </c>
      <c r="N109" s="92">
        <v>-80.83</v>
      </c>
      <c r="O109" s="236"/>
      <c r="P109" s="234">
        <f t="shared" si="2"/>
        <v>24206.910000000003</v>
      </c>
      <c r="Q109" s="93"/>
    </row>
    <row r="110" spans="1:17" ht="14" customHeight="1" x14ac:dyDescent="0.2">
      <c r="A110" s="121">
        <v>45230</v>
      </c>
      <c r="B110" s="71" t="s">
        <v>396</v>
      </c>
      <c r="C110" s="101" t="s">
        <v>519</v>
      </c>
      <c r="D110" s="102" t="s">
        <v>332</v>
      </c>
      <c r="E110" s="150" t="s">
        <v>114</v>
      </c>
      <c r="F110" s="71" t="s">
        <v>601</v>
      </c>
      <c r="G110" s="151" t="s">
        <v>165</v>
      </c>
      <c r="H110" s="179"/>
      <c r="I110" s="8">
        <v>117.07</v>
      </c>
      <c r="J110" s="182"/>
      <c r="K110" s="6">
        <f t="shared" si="13"/>
        <v>117.07</v>
      </c>
      <c r="L110" s="6">
        <v>17.260000000000002</v>
      </c>
      <c r="M110" s="6">
        <f t="shared" si="14"/>
        <v>99.809999999999988</v>
      </c>
      <c r="N110" s="92">
        <v>-117.07</v>
      </c>
      <c r="O110" s="236"/>
      <c r="P110" s="234">
        <f t="shared" si="2"/>
        <v>24089.840000000004</v>
      </c>
    </row>
    <row r="111" spans="1:17" ht="14" customHeight="1" x14ac:dyDescent="0.2">
      <c r="A111" s="121">
        <v>45230</v>
      </c>
      <c r="B111" s="71" t="s">
        <v>322</v>
      </c>
      <c r="C111" s="101" t="s">
        <v>520</v>
      </c>
      <c r="D111" s="102">
        <v>897</v>
      </c>
      <c r="E111" s="150" t="s">
        <v>114</v>
      </c>
      <c r="F111" s="71" t="s">
        <v>601</v>
      </c>
      <c r="G111" s="151" t="s">
        <v>64</v>
      </c>
      <c r="H111" s="179"/>
      <c r="I111" s="8">
        <v>1020</v>
      </c>
      <c r="J111" s="182"/>
      <c r="K111" s="6">
        <f>I111</f>
        <v>1020</v>
      </c>
      <c r="L111" s="6">
        <v>170</v>
      </c>
      <c r="M111" s="6">
        <f>K111-L111</f>
        <v>850</v>
      </c>
      <c r="N111" s="92">
        <v>-1020</v>
      </c>
      <c r="O111" s="236"/>
      <c r="P111" s="234">
        <f t="shared" si="2"/>
        <v>23069.840000000004</v>
      </c>
    </row>
    <row r="112" spans="1:17" ht="14" customHeight="1" x14ac:dyDescent="0.2">
      <c r="A112" s="121">
        <v>45230</v>
      </c>
      <c r="B112" s="71" t="s">
        <v>521</v>
      </c>
      <c r="C112" s="101" t="s">
        <v>522</v>
      </c>
      <c r="D112" s="102">
        <v>32286</v>
      </c>
      <c r="E112" s="150" t="s">
        <v>114</v>
      </c>
      <c r="F112" s="71" t="s">
        <v>601</v>
      </c>
      <c r="G112" s="151" t="s">
        <v>40</v>
      </c>
      <c r="H112" s="179"/>
      <c r="I112" s="8">
        <v>210</v>
      </c>
      <c r="J112" s="182"/>
      <c r="K112" s="6">
        <f>I112</f>
        <v>210</v>
      </c>
      <c r="L112" s="6">
        <v>35</v>
      </c>
      <c r="M112" s="6">
        <f>K112-L112</f>
        <v>175</v>
      </c>
      <c r="N112" s="92">
        <v>-210</v>
      </c>
      <c r="O112" s="236"/>
      <c r="P112" s="234">
        <f t="shared" si="2"/>
        <v>22859.840000000004</v>
      </c>
    </row>
    <row r="113" spans="1:17" ht="14" customHeight="1" x14ac:dyDescent="0.2">
      <c r="A113" s="121">
        <v>45236</v>
      </c>
      <c r="B113" s="71" t="s">
        <v>127</v>
      </c>
      <c r="C113" s="101" t="s">
        <v>525</v>
      </c>
      <c r="D113" s="102" t="s">
        <v>249</v>
      </c>
      <c r="E113" s="150" t="s">
        <v>114</v>
      </c>
      <c r="F113" s="83"/>
      <c r="G113" s="151" t="s">
        <v>9</v>
      </c>
      <c r="H113" s="179">
        <v>50.71</v>
      </c>
      <c r="I113" s="8"/>
      <c r="J113" s="182"/>
      <c r="K113" s="6">
        <f>I113</f>
        <v>0</v>
      </c>
      <c r="L113" s="6">
        <v>0</v>
      </c>
      <c r="M113" s="6">
        <f>K113-L113</f>
        <v>0</v>
      </c>
      <c r="N113" s="92">
        <v>50.71</v>
      </c>
      <c r="O113" s="236"/>
      <c r="P113" s="234">
        <f t="shared" si="2"/>
        <v>22910.550000000003</v>
      </c>
    </row>
    <row r="114" spans="1:17" ht="14" customHeight="1" x14ac:dyDescent="0.2">
      <c r="A114" s="121">
        <v>45244</v>
      </c>
      <c r="B114" s="71" t="s">
        <v>531</v>
      </c>
      <c r="C114" s="101" t="s">
        <v>530</v>
      </c>
      <c r="D114" s="102"/>
      <c r="E114" s="150"/>
      <c r="F114" s="83"/>
      <c r="G114" s="71" t="s">
        <v>13</v>
      </c>
      <c r="H114" s="179"/>
      <c r="I114" s="8">
        <v>62.16</v>
      </c>
      <c r="J114" s="182"/>
      <c r="K114" s="6">
        <f t="shared" ref="K114:K123" si="15">I114</f>
        <v>62.16</v>
      </c>
      <c r="L114" s="6">
        <v>0</v>
      </c>
      <c r="M114" s="6">
        <f t="shared" ref="M114:M123" si="16">K114-L114</f>
        <v>62.16</v>
      </c>
      <c r="N114" s="92">
        <v>-355.93</v>
      </c>
      <c r="O114" s="236"/>
      <c r="P114" s="234">
        <f t="shared" si="2"/>
        <v>22554.620000000003</v>
      </c>
    </row>
    <row r="115" spans="1:17" ht="14" customHeight="1" x14ac:dyDescent="0.2">
      <c r="A115" s="121">
        <v>45244</v>
      </c>
      <c r="B115" s="71" t="s">
        <v>532</v>
      </c>
      <c r="C115" s="101" t="s">
        <v>530</v>
      </c>
      <c r="D115" s="102"/>
      <c r="E115" s="150"/>
      <c r="F115" s="83"/>
      <c r="G115" s="71" t="s">
        <v>13</v>
      </c>
      <c r="H115" s="179"/>
      <c r="I115" s="8">
        <v>248.36</v>
      </c>
      <c r="J115" s="182"/>
      <c r="K115" s="6">
        <f t="shared" si="15"/>
        <v>248.36</v>
      </c>
      <c r="L115" s="6">
        <v>0</v>
      </c>
      <c r="M115" s="6">
        <f t="shared" si="16"/>
        <v>248.36</v>
      </c>
      <c r="N115" s="92">
        <v>-88.8</v>
      </c>
      <c r="O115" s="236"/>
      <c r="P115" s="234">
        <f t="shared" si="2"/>
        <v>22465.820000000003</v>
      </c>
    </row>
    <row r="116" spans="1:17" ht="14" customHeight="1" x14ac:dyDescent="0.2">
      <c r="A116" s="121">
        <v>45244</v>
      </c>
      <c r="B116" s="71" t="s">
        <v>532</v>
      </c>
      <c r="C116" s="101" t="s">
        <v>533</v>
      </c>
      <c r="D116" s="102"/>
      <c r="E116" s="150"/>
      <c r="F116" s="83"/>
      <c r="G116" s="71" t="s">
        <v>19</v>
      </c>
      <c r="H116" s="179"/>
      <c r="I116" s="8">
        <v>1.1299999999999999</v>
      </c>
      <c r="J116" s="182"/>
      <c r="K116" s="6">
        <f t="shared" si="15"/>
        <v>1.1299999999999999</v>
      </c>
      <c r="L116" s="6">
        <v>0</v>
      </c>
      <c r="M116" s="6">
        <f t="shared" si="16"/>
        <v>1.1299999999999999</v>
      </c>
      <c r="N116" s="92"/>
      <c r="O116" s="236"/>
      <c r="P116" s="234">
        <f t="shared" si="2"/>
        <v>22465.820000000003</v>
      </c>
    </row>
    <row r="117" spans="1:17" ht="14" customHeight="1" x14ac:dyDescent="0.2">
      <c r="A117" s="121">
        <v>45244</v>
      </c>
      <c r="B117" s="71" t="s">
        <v>531</v>
      </c>
      <c r="C117" s="101" t="s">
        <v>534</v>
      </c>
      <c r="D117" s="102"/>
      <c r="E117" s="150"/>
      <c r="F117" s="83"/>
      <c r="G117" s="71" t="s">
        <v>17</v>
      </c>
      <c r="H117" s="179"/>
      <c r="I117" s="8">
        <v>26.64</v>
      </c>
      <c r="J117" s="182"/>
      <c r="K117" s="6">
        <f t="shared" si="15"/>
        <v>26.64</v>
      </c>
      <c r="L117" s="6">
        <v>0</v>
      </c>
      <c r="M117" s="6">
        <f t="shared" si="16"/>
        <v>26.64</v>
      </c>
      <c r="N117" s="92"/>
      <c r="O117" s="236"/>
      <c r="P117" s="234">
        <f t="shared" si="2"/>
        <v>22465.820000000003</v>
      </c>
    </row>
    <row r="118" spans="1:17" ht="14" customHeight="1" x14ac:dyDescent="0.2">
      <c r="A118" s="121">
        <v>45244</v>
      </c>
      <c r="B118" s="71" t="s">
        <v>532</v>
      </c>
      <c r="C118" s="101" t="s">
        <v>535</v>
      </c>
      <c r="D118" s="102"/>
      <c r="E118" s="150"/>
      <c r="F118" s="83"/>
      <c r="G118" s="71" t="s">
        <v>17</v>
      </c>
      <c r="H118" s="179"/>
      <c r="I118" s="8">
        <v>106.44</v>
      </c>
      <c r="J118" s="182"/>
      <c r="K118" s="6">
        <f t="shared" si="15"/>
        <v>106.44</v>
      </c>
      <c r="L118" s="6">
        <v>0</v>
      </c>
      <c r="M118" s="6">
        <f t="shared" si="16"/>
        <v>106.44</v>
      </c>
      <c r="N118" s="92"/>
      <c r="O118" s="236"/>
      <c r="P118" s="234">
        <f t="shared" si="2"/>
        <v>22465.820000000003</v>
      </c>
    </row>
    <row r="119" spans="1:17" ht="14" customHeight="1" x14ac:dyDescent="0.2">
      <c r="A119" s="121">
        <v>45244</v>
      </c>
      <c r="B119" s="71" t="s">
        <v>101</v>
      </c>
      <c r="C119" s="101" t="s">
        <v>537</v>
      </c>
      <c r="D119" s="102" t="s">
        <v>538</v>
      </c>
      <c r="E119" s="150" t="s">
        <v>114</v>
      </c>
      <c r="F119" s="83"/>
      <c r="G119" s="151" t="s">
        <v>41</v>
      </c>
      <c r="H119" s="179"/>
      <c r="I119" s="8">
        <v>364.5</v>
      </c>
      <c r="J119" s="182"/>
      <c r="K119" s="6">
        <f t="shared" si="15"/>
        <v>364.5</v>
      </c>
      <c r="L119" s="6">
        <v>0</v>
      </c>
      <c r="M119" s="6">
        <f t="shared" si="16"/>
        <v>364.5</v>
      </c>
      <c r="N119" s="92">
        <v>-364.5</v>
      </c>
      <c r="O119" s="236"/>
      <c r="P119" s="234">
        <f t="shared" si="2"/>
        <v>22101.320000000003</v>
      </c>
    </row>
    <row r="120" spans="1:17" ht="14" customHeight="1" x14ac:dyDescent="0.2">
      <c r="A120" s="121">
        <v>45244</v>
      </c>
      <c r="B120" s="71" t="s">
        <v>271</v>
      </c>
      <c r="C120" s="101" t="s">
        <v>539</v>
      </c>
      <c r="D120" s="102">
        <v>7112023</v>
      </c>
      <c r="E120" s="150" t="s">
        <v>114</v>
      </c>
      <c r="F120" s="71" t="s">
        <v>601</v>
      </c>
      <c r="G120" s="151" t="s">
        <v>159</v>
      </c>
      <c r="H120" s="179"/>
      <c r="I120" s="8">
        <v>150</v>
      </c>
      <c r="J120" s="182"/>
      <c r="K120" s="6">
        <f t="shared" si="15"/>
        <v>150</v>
      </c>
      <c r="L120" s="6">
        <v>25</v>
      </c>
      <c r="M120" s="6">
        <f t="shared" si="16"/>
        <v>125</v>
      </c>
      <c r="N120" s="92">
        <v>-150</v>
      </c>
      <c r="O120" s="236"/>
      <c r="P120" s="234">
        <f t="shared" si="2"/>
        <v>21951.320000000003</v>
      </c>
    </row>
    <row r="121" spans="1:17" ht="14" customHeight="1" x14ac:dyDescent="0.2">
      <c r="A121" s="121">
        <v>45244</v>
      </c>
      <c r="B121" s="71" t="s">
        <v>103</v>
      </c>
      <c r="C121" s="101" t="s">
        <v>541</v>
      </c>
      <c r="D121" s="102" t="s">
        <v>332</v>
      </c>
      <c r="E121" s="150" t="s">
        <v>114</v>
      </c>
      <c r="F121" s="71" t="s">
        <v>601</v>
      </c>
      <c r="G121" s="151" t="s">
        <v>19</v>
      </c>
      <c r="H121" s="179"/>
      <c r="I121" s="8">
        <v>33.97</v>
      </c>
      <c r="J121" s="182"/>
      <c r="K121" s="6">
        <f t="shared" si="15"/>
        <v>33.97</v>
      </c>
      <c r="L121" s="6">
        <v>2.82</v>
      </c>
      <c r="M121" s="6">
        <f t="shared" si="16"/>
        <v>31.15</v>
      </c>
      <c r="N121" s="92">
        <v>-33.97</v>
      </c>
      <c r="O121" s="236"/>
      <c r="P121" s="234">
        <f t="shared" si="2"/>
        <v>21917.350000000002</v>
      </c>
    </row>
    <row r="122" spans="1:17" ht="14" customHeight="1" x14ac:dyDescent="0.2">
      <c r="A122" s="121">
        <v>45244</v>
      </c>
      <c r="B122" s="71" t="s">
        <v>540</v>
      </c>
      <c r="C122" s="101" t="s">
        <v>462</v>
      </c>
      <c r="D122" s="102" t="s">
        <v>259</v>
      </c>
      <c r="E122" s="150" t="s">
        <v>114</v>
      </c>
      <c r="F122" s="83"/>
      <c r="G122" s="151" t="s">
        <v>106</v>
      </c>
      <c r="H122" s="179"/>
      <c r="I122" s="8">
        <v>37.5</v>
      </c>
      <c r="J122" s="182"/>
      <c r="K122" s="6">
        <f t="shared" si="15"/>
        <v>37.5</v>
      </c>
      <c r="L122" s="6">
        <v>0</v>
      </c>
      <c r="M122" s="6">
        <f t="shared" si="16"/>
        <v>37.5</v>
      </c>
      <c r="N122" s="92">
        <v>-37.5</v>
      </c>
      <c r="O122" s="236"/>
      <c r="P122" s="234">
        <f t="shared" si="2"/>
        <v>21879.850000000002</v>
      </c>
    </row>
    <row r="123" spans="1:17" ht="14" customHeight="1" x14ac:dyDescent="0.2">
      <c r="A123" s="121">
        <v>45244</v>
      </c>
      <c r="B123" s="71" t="s">
        <v>443</v>
      </c>
      <c r="C123" s="101" t="s">
        <v>559</v>
      </c>
      <c r="D123" s="102">
        <v>15597</v>
      </c>
      <c r="E123" s="150" t="s">
        <v>114</v>
      </c>
      <c r="F123" s="71" t="s">
        <v>601</v>
      </c>
      <c r="G123" s="151" t="s">
        <v>57</v>
      </c>
      <c r="H123" s="179"/>
      <c r="I123" s="8">
        <v>453.6</v>
      </c>
      <c r="J123" s="182"/>
      <c r="K123" s="6">
        <f t="shared" si="15"/>
        <v>453.6</v>
      </c>
      <c r="L123" s="6">
        <v>75.599999999999994</v>
      </c>
      <c r="M123" s="6">
        <f t="shared" si="16"/>
        <v>378</v>
      </c>
      <c r="N123" s="92">
        <v>-453.6</v>
      </c>
      <c r="O123" s="236"/>
      <c r="P123" s="234">
        <f t="shared" si="2"/>
        <v>21426.250000000004</v>
      </c>
    </row>
    <row r="124" spans="1:17" ht="14" customHeight="1" x14ac:dyDescent="0.2">
      <c r="A124" s="121">
        <v>45275</v>
      </c>
      <c r="B124" s="71" t="s">
        <v>513</v>
      </c>
      <c r="C124" s="101" t="s">
        <v>548</v>
      </c>
      <c r="D124" s="102" t="s">
        <v>332</v>
      </c>
      <c r="E124" s="150" t="s">
        <v>114</v>
      </c>
      <c r="F124" s="83"/>
      <c r="G124" s="71" t="s">
        <v>165</v>
      </c>
      <c r="H124" s="179"/>
      <c r="I124" s="8">
        <v>200</v>
      </c>
      <c r="J124" s="182"/>
      <c r="K124" s="6">
        <f>I124</f>
        <v>200</v>
      </c>
      <c r="L124" s="6">
        <v>0</v>
      </c>
      <c r="M124" s="6">
        <f>K124-L124</f>
        <v>200</v>
      </c>
      <c r="N124" s="92">
        <v>-292.64999999999998</v>
      </c>
      <c r="O124" s="236"/>
      <c r="P124" s="234">
        <f t="shared" si="2"/>
        <v>21133.600000000002</v>
      </c>
    </row>
    <row r="125" spans="1:17" s="67" customFormat="1" ht="28" customHeight="1" x14ac:dyDescent="0.2">
      <c r="A125" s="121">
        <v>45275</v>
      </c>
      <c r="B125" s="155" t="s">
        <v>513</v>
      </c>
      <c r="C125" s="134" t="s">
        <v>549</v>
      </c>
      <c r="D125" s="220" t="s">
        <v>332</v>
      </c>
      <c r="E125" s="221" t="s">
        <v>114</v>
      </c>
      <c r="F125" s="71" t="s">
        <v>601</v>
      </c>
      <c r="G125" s="155" t="s">
        <v>165</v>
      </c>
      <c r="H125" s="222"/>
      <c r="I125" s="223">
        <v>92.65</v>
      </c>
      <c r="J125" s="224"/>
      <c r="K125" s="225">
        <f t="shared" ref="K125:K140" si="17">I125</f>
        <v>92.65</v>
      </c>
      <c r="L125" s="225">
        <v>1.33</v>
      </c>
      <c r="M125" s="225">
        <f t="shared" ref="M125:M140" si="18">K125-L125</f>
        <v>91.320000000000007</v>
      </c>
      <c r="N125" s="226"/>
      <c r="O125" s="238"/>
      <c r="P125" s="243">
        <f t="shared" si="2"/>
        <v>21133.600000000002</v>
      </c>
      <c r="Q125" s="227"/>
    </row>
    <row r="126" spans="1:17" ht="14" customHeight="1" x14ac:dyDescent="0.2">
      <c r="A126" s="121">
        <v>45275</v>
      </c>
      <c r="B126" s="71" t="s">
        <v>550</v>
      </c>
      <c r="C126" s="101" t="s">
        <v>551</v>
      </c>
      <c r="D126" s="102">
        <v>32375</v>
      </c>
      <c r="E126" s="150"/>
      <c r="F126" s="71" t="s">
        <v>601</v>
      </c>
      <c r="G126" s="71" t="s">
        <v>40</v>
      </c>
      <c r="H126" s="179"/>
      <c r="I126" s="8">
        <v>576</v>
      </c>
      <c r="J126" s="182"/>
      <c r="K126" s="6">
        <f t="shared" si="17"/>
        <v>576</v>
      </c>
      <c r="L126" s="6">
        <v>96</v>
      </c>
      <c r="M126" s="6">
        <f t="shared" si="18"/>
        <v>480</v>
      </c>
      <c r="N126" s="92">
        <v>-576</v>
      </c>
      <c r="O126" s="236"/>
      <c r="P126" s="234">
        <f t="shared" si="2"/>
        <v>20557.600000000002</v>
      </c>
    </row>
    <row r="127" spans="1:17" ht="14" customHeight="1" x14ac:dyDescent="0.2">
      <c r="A127" s="121">
        <v>45275</v>
      </c>
      <c r="B127" s="71" t="s">
        <v>265</v>
      </c>
      <c r="C127" s="101" t="s">
        <v>557</v>
      </c>
      <c r="D127" s="102" t="s">
        <v>259</v>
      </c>
      <c r="E127" s="150" t="s">
        <v>114</v>
      </c>
      <c r="F127" s="83"/>
      <c r="G127" s="71" t="s">
        <v>69</v>
      </c>
      <c r="H127" s="179"/>
      <c r="I127" s="8">
        <v>13.21</v>
      </c>
      <c r="J127" s="182"/>
      <c r="K127" s="6">
        <f t="shared" si="17"/>
        <v>13.21</v>
      </c>
      <c r="L127" s="6">
        <v>0</v>
      </c>
      <c r="M127" s="6">
        <f t="shared" si="18"/>
        <v>13.21</v>
      </c>
      <c r="N127" s="92">
        <v>-13.21</v>
      </c>
      <c r="O127" s="236"/>
      <c r="P127" s="234">
        <f t="shared" si="2"/>
        <v>20544.390000000003</v>
      </c>
    </row>
    <row r="128" spans="1:17" ht="14" customHeight="1" x14ac:dyDescent="0.2">
      <c r="A128" s="121">
        <v>45275</v>
      </c>
      <c r="B128" s="71" t="s">
        <v>241</v>
      </c>
      <c r="C128" s="101" t="s">
        <v>553</v>
      </c>
      <c r="D128" s="102" t="s">
        <v>259</v>
      </c>
      <c r="E128" s="150" t="s">
        <v>114</v>
      </c>
      <c r="F128" s="83"/>
      <c r="G128" s="71" t="s">
        <v>159</v>
      </c>
      <c r="H128" s="179"/>
      <c r="I128" s="8">
        <v>50</v>
      </c>
      <c r="J128" s="182"/>
      <c r="K128" s="6">
        <f t="shared" si="17"/>
        <v>50</v>
      </c>
      <c r="L128" s="6">
        <v>0</v>
      </c>
      <c r="M128" s="6">
        <f t="shared" si="18"/>
        <v>50</v>
      </c>
      <c r="N128" s="92">
        <v>-133.63999999999999</v>
      </c>
      <c r="O128" s="236"/>
      <c r="P128" s="234">
        <f t="shared" ref="P128:P168" si="19">P127+N128</f>
        <v>20410.750000000004</v>
      </c>
    </row>
    <row r="129" spans="1:17" ht="14" customHeight="1" x14ac:dyDescent="0.2">
      <c r="A129" s="121">
        <v>45275</v>
      </c>
      <c r="B129" s="71" t="s">
        <v>241</v>
      </c>
      <c r="C129" s="101" t="s">
        <v>554</v>
      </c>
      <c r="D129" s="102" t="s">
        <v>259</v>
      </c>
      <c r="E129" s="150" t="s">
        <v>114</v>
      </c>
      <c r="F129" s="83"/>
      <c r="G129" s="71" t="s">
        <v>159</v>
      </c>
      <c r="H129" s="179"/>
      <c r="I129" s="8">
        <v>65</v>
      </c>
      <c r="J129" s="182"/>
      <c r="K129" s="6">
        <f>I129</f>
        <v>65</v>
      </c>
      <c r="L129" s="6">
        <v>0</v>
      </c>
      <c r="M129" s="6">
        <f>K129-L129</f>
        <v>65</v>
      </c>
      <c r="N129" s="92"/>
      <c r="O129" s="236"/>
      <c r="P129" s="234">
        <f t="shared" si="2"/>
        <v>20410.750000000004</v>
      </c>
    </row>
    <row r="130" spans="1:17" ht="14" customHeight="1" x14ac:dyDescent="0.2">
      <c r="A130" s="121">
        <v>45275</v>
      </c>
      <c r="B130" s="71" t="s">
        <v>241</v>
      </c>
      <c r="C130" s="101" t="s">
        <v>555</v>
      </c>
      <c r="D130" s="102" t="s">
        <v>259</v>
      </c>
      <c r="E130" s="150" t="s">
        <v>114</v>
      </c>
      <c r="F130" s="71" t="s">
        <v>601</v>
      </c>
      <c r="G130" s="71" t="s">
        <v>159</v>
      </c>
      <c r="H130" s="179"/>
      <c r="I130" s="8">
        <v>18.64</v>
      </c>
      <c r="J130" s="182"/>
      <c r="K130" s="6">
        <f>I130</f>
        <v>18.64</v>
      </c>
      <c r="L130" s="6">
        <v>3.11</v>
      </c>
      <c r="M130" s="6">
        <f>K130-L130</f>
        <v>15.530000000000001</v>
      </c>
      <c r="N130" s="92"/>
      <c r="O130" s="236"/>
      <c r="P130" s="234">
        <f t="shared" si="19"/>
        <v>20410.750000000004</v>
      </c>
    </row>
    <row r="131" spans="1:17" ht="14" customHeight="1" x14ac:dyDescent="0.2">
      <c r="A131" s="121">
        <v>45275</v>
      </c>
      <c r="B131" s="71" t="s">
        <v>552</v>
      </c>
      <c r="C131" s="101" t="s">
        <v>541</v>
      </c>
      <c r="D131" s="102" t="s">
        <v>332</v>
      </c>
      <c r="E131" s="150" t="s">
        <v>114</v>
      </c>
      <c r="F131" s="71" t="s">
        <v>601</v>
      </c>
      <c r="G131" s="71" t="s">
        <v>19</v>
      </c>
      <c r="H131" s="179"/>
      <c r="I131" s="8">
        <v>12.6</v>
      </c>
      <c r="J131" s="182"/>
      <c r="K131" s="6">
        <f t="shared" si="17"/>
        <v>12.6</v>
      </c>
      <c r="L131" s="6">
        <v>1.31</v>
      </c>
      <c r="M131" s="6">
        <f t="shared" si="18"/>
        <v>11.29</v>
      </c>
      <c r="N131" s="92">
        <v>-12.6</v>
      </c>
      <c r="O131" s="236"/>
      <c r="P131" s="234">
        <f t="shared" si="19"/>
        <v>20398.150000000005</v>
      </c>
      <c r="Q131" s="218"/>
    </row>
    <row r="132" spans="1:17" ht="14" customHeight="1" x14ac:dyDescent="0.2">
      <c r="A132" s="121">
        <v>45278</v>
      </c>
      <c r="B132" s="71" t="s">
        <v>127</v>
      </c>
      <c r="C132" s="101" t="s">
        <v>556</v>
      </c>
      <c r="D132" s="102" t="s">
        <v>259</v>
      </c>
      <c r="E132" s="150" t="s">
        <v>114</v>
      </c>
      <c r="F132" s="83"/>
      <c r="G132" s="71" t="s">
        <v>9</v>
      </c>
      <c r="H132" s="179">
        <v>74.22</v>
      </c>
      <c r="I132" s="8"/>
      <c r="J132" s="182"/>
      <c r="K132" s="6">
        <f t="shared" si="17"/>
        <v>0</v>
      </c>
      <c r="L132" s="6">
        <v>0</v>
      </c>
      <c r="M132" s="6">
        <f t="shared" si="18"/>
        <v>0</v>
      </c>
      <c r="N132" s="92">
        <v>74.22</v>
      </c>
      <c r="O132" s="236"/>
      <c r="P132" s="234">
        <f t="shared" si="19"/>
        <v>20472.370000000006</v>
      </c>
    </row>
    <row r="133" spans="1:17" ht="14" customHeight="1" x14ac:dyDescent="0.2">
      <c r="A133" s="121">
        <v>45282</v>
      </c>
      <c r="B133" s="71" t="s">
        <v>543</v>
      </c>
      <c r="C133" s="101" t="s">
        <v>545</v>
      </c>
      <c r="D133" s="102"/>
      <c r="E133" s="150"/>
      <c r="F133" s="83"/>
      <c r="G133" s="71" t="s">
        <v>13</v>
      </c>
      <c r="H133" s="179"/>
      <c r="I133" s="8">
        <v>62.16</v>
      </c>
      <c r="J133" s="182"/>
      <c r="K133" s="6">
        <f t="shared" si="17"/>
        <v>62.16</v>
      </c>
      <c r="L133" s="6">
        <v>0</v>
      </c>
      <c r="M133" s="6">
        <f t="shared" si="18"/>
        <v>62.16</v>
      </c>
      <c r="N133" s="92">
        <v>-359.3</v>
      </c>
      <c r="O133" s="236"/>
      <c r="P133" s="234">
        <f t="shared" si="19"/>
        <v>20113.070000000007</v>
      </c>
    </row>
    <row r="134" spans="1:17" ht="14" customHeight="1" x14ac:dyDescent="0.2">
      <c r="A134" s="121">
        <v>45282</v>
      </c>
      <c r="B134" s="71" t="s">
        <v>544</v>
      </c>
      <c r="C134" s="101" t="s">
        <v>545</v>
      </c>
      <c r="D134" s="102"/>
      <c r="E134" s="150"/>
      <c r="F134" s="83"/>
      <c r="G134" s="71" t="s">
        <v>13</v>
      </c>
      <c r="H134" s="179"/>
      <c r="I134" s="8">
        <v>248.36</v>
      </c>
      <c r="J134" s="182"/>
      <c r="K134" s="6">
        <f t="shared" si="17"/>
        <v>248.36</v>
      </c>
      <c r="L134" s="6">
        <v>0</v>
      </c>
      <c r="M134" s="6">
        <f t="shared" si="18"/>
        <v>248.36</v>
      </c>
      <c r="N134" s="92">
        <v>-88.8</v>
      </c>
      <c r="O134" s="236"/>
      <c r="P134" s="234">
        <f t="shared" si="19"/>
        <v>20024.270000000008</v>
      </c>
    </row>
    <row r="135" spans="1:17" ht="14" customHeight="1" x14ac:dyDescent="0.2">
      <c r="A135" s="121">
        <v>45282</v>
      </c>
      <c r="B135" s="71" t="s">
        <v>544</v>
      </c>
      <c r="C135" s="101" t="s">
        <v>546</v>
      </c>
      <c r="D135" s="102"/>
      <c r="E135" s="150"/>
      <c r="F135" s="83"/>
      <c r="G135" s="71" t="s">
        <v>19</v>
      </c>
      <c r="H135" s="179"/>
      <c r="I135" s="8">
        <v>4.5</v>
      </c>
      <c r="J135" s="182"/>
      <c r="K135" s="6">
        <f t="shared" si="17"/>
        <v>4.5</v>
      </c>
      <c r="L135" s="6">
        <v>0</v>
      </c>
      <c r="M135" s="6">
        <f t="shared" si="18"/>
        <v>4.5</v>
      </c>
      <c r="N135" s="92"/>
      <c r="O135" s="236"/>
      <c r="P135" s="234">
        <f t="shared" si="19"/>
        <v>20024.270000000008</v>
      </c>
    </row>
    <row r="136" spans="1:17" ht="14" customHeight="1" x14ac:dyDescent="0.2">
      <c r="A136" s="121">
        <v>45282</v>
      </c>
      <c r="B136" s="71" t="s">
        <v>543</v>
      </c>
      <c r="C136" s="101" t="s">
        <v>547</v>
      </c>
      <c r="D136" s="102"/>
      <c r="E136" s="150"/>
      <c r="F136" s="83"/>
      <c r="G136" s="71" t="s">
        <v>17</v>
      </c>
      <c r="H136" s="179"/>
      <c r="I136" s="8">
        <v>26.64</v>
      </c>
      <c r="J136" s="182"/>
      <c r="K136" s="6">
        <f t="shared" si="17"/>
        <v>26.64</v>
      </c>
      <c r="L136" s="6">
        <v>0</v>
      </c>
      <c r="M136" s="6">
        <f t="shared" si="18"/>
        <v>26.64</v>
      </c>
      <c r="N136" s="92"/>
      <c r="O136" s="236"/>
      <c r="P136" s="234">
        <f t="shared" si="19"/>
        <v>20024.270000000008</v>
      </c>
    </row>
    <row r="137" spans="1:17" ht="14" customHeight="1" x14ac:dyDescent="0.2">
      <c r="A137" s="121">
        <v>45282</v>
      </c>
      <c r="B137" s="71" t="s">
        <v>544</v>
      </c>
      <c r="C137" s="101" t="s">
        <v>547</v>
      </c>
      <c r="D137" s="102"/>
      <c r="E137" s="150"/>
      <c r="F137" s="83"/>
      <c r="G137" s="71" t="s">
        <v>17</v>
      </c>
      <c r="H137" s="179"/>
      <c r="I137" s="8">
        <v>106.44</v>
      </c>
      <c r="J137" s="182"/>
      <c r="K137" s="6">
        <f t="shared" si="17"/>
        <v>106.44</v>
      </c>
      <c r="L137" s="6">
        <v>0</v>
      </c>
      <c r="M137" s="6">
        <f t="shared" si="18"/>
        <v>106.44</v>
      </c>
      <c r="N137" s="92"/>
      <c r="O137" s="236"/>
      <c r="P137" s="234">
        <f t="shared" si="19"/>
        <v>20024.270000000008</v>
      </c>
    </row>
    <row r="138" spans="1:17" ht="14" customHeight="1" x14ac:dyDescent="0.2">
      <c r="A138" s="121">
        <v>45282</v>
      </c>
      <c r="B138" s="71" t="s">
        <v>482</v>
      </c>
      <c r="C138" s="101" t="s">
        <v>564</v>
      </c>
      <c r="D138" s="102">
        <v>12</v>
      </c>
      <c r="E138" s="150" t="s">
        <v>114</v>
      </c>
      <c r="F138" s="83"/>
      <c r="G138" s="71" t="s">
        <v>165</v>
      </c>
      <c r="H138" s="179"/>
      <c r="I138" s="8">
        <v>20</v>
      </c>
      <c r="J138" s="182"/>
      <c r="K138" s="6">
        <f t="shared" si="17"/>
        <v>20</v>
      </c>
      <c r="L138" s="6">
        <v>0</v>
      </c>
      <c r="M138" s="6">
        <f t="shared" si="18"/>
        <v>20</v>
      </c>
      <c r="N138" s="92">
        <v>-20</v>
      </c>
      <c r="O138" s="236"/>
      <c r="P138" s="234">
        <f t="shared" si="19"/>
        <v>20004.270000000008</v>
      </c>
    </row>
    <row r="139" spans="1:17" ht="14" customHeight="1" x14ac:dyDescent="0.2">
      <c r="A139" s="121">
        <v>45299</v>
      </c>
      <c r="B139" s="71" t="s">
        <v>127</v>
      </c>
      <c r="C139" s="101" t="s">
        <v>567</v>
      </c>
      <c r="D139" s="102" t="s">
        <v>565</v>
      </c>
      <c r="E139" s="150" t="s">
        <v>114</v>
      </c>
      <c r="F139" s="83"/>
      <c r="G139" s="71" t="s">
        <v>9</v>
      </c>
      <c r="H139" s="179">
        <v>55</v>
      </c>
      <c r="I139" s="8"/>
      <c r="J139" s="182"/>
      <c r="K139" s="6">
        <f t="shared" si="17"/>
        <v>0</v>
      </c>
      <c r="L139" s="6">
        <v>0</v>
      </c>
      <c r="M139" s="6">
        <f t="shared" si="18"/>
        <v>0</v>
      </c>
      <c r="N139" s="92">
        <v>48.8</v>
      </c>
      <c r="O139" s="236"/>
      <c r="P139" s="234">
        <f t="shared" si="19"/>
        <v>20053.070000000007</v>
      </c>
      <c r="Q139" s="1" t="s">
        <v>569</v>
      </c>
    </row>
    <row r="140" spans="1:17" ht="14" customHeight="1" x14ac:dyDescent="0.2">
      <c r="A140" s="250">
        <v>45299</v>
      </c>
      <c r="B140" s="228" t="s">
        <v>566</v>
      </c>
      <c r="C140" s="229" t="s">
        <v>568</v>
      </c>
      <c r="D140" s="228"/>
      <c r="E140" s="230" t="s">
        <v>114</v>
      </c>
      <c r="F140" s="228"/>
      <c r="G140" s="228" t="s">
        <v>159</v>
      </c>
      <c r="H140" s="231"/>
      <c r="I140" s="232">
        <v>6.2</v>
      </c>
      <c r="J140" s="182"/>
      <c r="K140" s="187">
        <f t="shared" si="17"/>
        <v>6.2</v>
      </c>
      <c r="L140" s="187">
        <v>0</v>
      </c>
      <c r="M140" s="187">
        <f t="shared" si="18"/>
        <v>6.2</v>
      </c>
      <c r="N140" s="233"/>
      <c r="O140" s="239"/>
      <c r="P140" s="234">
        <f t="shared" si="19"/>
        <v>20053.070000000007</v>
      </c>
    </row>
    <row r="141" spans="1:17" ht="14" customHeight="1" x14ac:dyDescent="0.2">
      <c r="A141" s="121">
        <v>45303</v>
      </c>
      <c r="B141" s="71" t="s">
        <v>265</v>
      </c>
      <c r="C141" s="101" t="s">
        <v>570</v>
      </c>
      <c r="D141" s="71" t="s">
        <v>259</v>
      </c>
      <c r="E141" s="150" t="s">
        <v>114</v>
      </c>
      <c r="F141" s="71"/>
      <c r="G141" s="71" t="s">
        <v>157</v>
      </c>
      <c r="H141" s="179"/>
      <c r="I141" s="8">
        <v>52.15</v>
      </c>
      <c r="J141" s="5"/>
      <c r="K141" s="6">
        <f t="shared" ref="K141:K159" si="20">I141</f>
        <v>52.15</v>
      </c>
      <c r="L141" s="6"/>
      <c r="M141" s="6">
        <f t="shared" ref="M141:M159" si="21">K141-L141</f>
        <v>52.15</v>
      </c>
      <c r="N141" s="7">
        <v>-52.15</v>
      </c>
      <c r="O141" s="7"/>
      <c r="P141" s="234">
        <f t="shared" si="19"/>
        <v>20000.920000000006</v>
      </c>
    </row>
    <row r="142" spans="1:17" ht="14" customHeight="1" x14ac:dyDescent="0.2">
      <c r="A142" s="121">
        <v>45307</v>
      </c>
      <c r="B142" s="71" t="s">
        <v>572</v>
      </c>
      <c r="C142" s="101" t="s">
        <v>573</v>
      </c>
      <c r="D142" s="102"/>
      <c r="E142" s="150"/>
      <c r="F142" s="83"/>
      <c r="G142" s="71" t="s">
        <v>13</v>
      </c>
      <c r="H142" s="179"/>
      <c r="I142" s="8">
        <v>62.02</v>
      </c>
      <c r="J142" s="5"/>
      <c r="K142" s="6">
        <f t="shared" ref="K142" si="22">I142</f>
        <v>62.02</v>
      </c>
      <c r="L142" s="6"/>
      <c r="M142" s="6">
        <f t="shared" ref="M142" si="23">K142-L142</f>
        <v>62.02</v>
      </c>
      <c r="N142" s="7">
        <v>-88.6</v>
      </c>
      <c r="O142" s="7"/>
      <c r="P142" s="234">
        <f t="shared" si="19"/>
        <v>19912.320000000007</v>
      </c>
    </row>
    <row r="143" spans="1:17" ht="14" customHeight="1" x14ac:dyDescent="0.2">
      <c r="A143" s="121">
        <v>45307</v>
      </c>
      <c r="B143" s="71" t="s">
        <v>571</v>
      </c>
      <c r="C143" s="101" t="s">
        <v>573</v>
      </c>
      <c r="D143" s="102"/>
      <c r="E143" s="150"/>
      <c r="F143" s="83"/>
      <c r="G143" s="71" t="s">
        <v>13</v>
      </c>
      <c r="H143" s="179"/>
      <c r="I143" s="8">
        <v>248.5</v>
      </c>
      <c r="J143" s="5"/>
      <c r="K143" s="6">
        <f t="shared" si="20"/>
        <v>248.5</v>
      </c>
      <c r="L143" s="6"/>
      <c r="M143" s="6">
        <f t="shared" si="21"/>
        <v>248.5</v>
      </c>
      <c r="N143" s="7">
        <v>-355</v>
      </c>
      <c r="O143" s="7"/>
      <c r="P143" s="234">
        <f t="shared" si="19"/>
        <v>19557.320000000007</v>
      </c>
    </row>
    <row r="144" spans="1:17" ht="14" customHeight="1" x14ac:dyDescent="0.2">
      <c r="A144" s="121">
        <v>45307</v>
      </c>
      <c r="B144" s="71" t="s">
        <v>571</v>
      </c>
      <c r="C144" s="101" t="s">
        <v>574</v>
      </c>
      <c r="D144" s="102"/>
      <c r="E144" s="150"/>
      <c r="F144" s="83"/>
      <c r="G144" s="71" t="s">
        <v>19</v>
      </c>
      <c r="H144" s="179"/>
      <c r="I144" s="8">
        <v>0</v>
      </c>
      <c r="J144" s="5"/>
      <c r="K144" s="6">
        <f t="shared" si="20"/>
        <v>0</v>
      </c>
      <c r="L144" s="6"/>
      <c r="M144" s="6">
        <f t="shared" si="21"/>
        <v>0</v>
      </c>
      <c r="N144" s="7"/>
      <c r="O144" s="7"/>
      <c r="P144" s="234">
        <f t="shared" si="19"/>
        <v>19557.320000000007</v>
      </c>
    </row>
    <row r="145" spans="1:16" ht="14" customHeight="1" x14ac:dyDescent="0.2">
      <c r="A145" s="121">
        <v>45307</v>
      </c>
      <c r="B145" s="71" t="s">
        <v>572</v>
      </c>
      <c r="C145" s="101" t="s">
        <v>575</v>
      </c>
      <c r="D145" s="102"/>
      <c r="E145" s="150"/>
      <c r="F145" s="83"/>
      <c r="G145" s="71" t="s">
        <v>17</v>
      </c>
      <c r="H145" s="179"/>
      <c r="I145" s="8">
        <v>26.58</v>
      </c>
      <c r="J145" s="5"/>
      <c r="K145" s="6">
        <f t="shared" si="20"/>
        <v>26.58</v>
      </c>
      <c r="L145" s="6"/>
      <c r="M145" s="6">
        <f t="shared" si="21"/>
        <v>26.58</v>
      </c>
      <c r="N145" s="7"/>
      <c r="O145" s="7"/>
      <c r="P145" s="234">
        <f t="shared" si="19"/>
        <v>19557.320000000007</v>
      </c>
    </row>
    <row r="146" spans="1:16" ht="14" customHeight="1" x14ac:dyDescent="0.2">
      <c r="A146" s="121">
        <v>45307</v>
      </c>
      <c r="B146" s="71" t="s">
        <v>571</v>
      </c>
      <c r="C146" s="101" t="s">
        <v>575</v>
      </c>
      <c r="D146" s="102"/>
      <c r="E146" s="150"/>
      <c r="F146" s="83"/>
      <c r="G146" s="71" t="s">
        <v>17</v>
      </c>
      <c r="H146" s="179"/>
      <c r="I146" s="8">
        <v>106.5</v>
      </c>
      <c r="J146" s="5"/>
      <c r="K146" s="6">
        <f t="shared" si="20"/>
        <v>106.5</v>
      </c>
      <c r="L146" s="6"/>
      <c r="M146" s="6">
        <f t="shared" si="21"/>
        <v>106.5</v>
      </c>
      <c r="N146" s="7"/>
      <c r="O146" s="7"/>
      <c r="P146" s="234">
        <f t="shared" si="19"/>
        <v>19557.320000000007</v>
      </c>
    </row>
    <row r="147" spans="1:16" ht="14" customHeight="1" x14ac:dyDescent="0.2">
      <c r="A147" s="121">
        <v>45307</v>
      </c>
      <c r="B147" s="71" t="s">
        <v>103</v>
      </c>
      <c r="C147" s="101" t="s">
        <v>577</v>
      </c>
      <c r="D147" s="71" t="s">
        <v>576</v>
      </c>
      <c r="E147" s="150" t="s">
        <v>114</v>
      </c>
      <c r="F147" s="71" t="s">
        <v>601</v>
      </c>
      <c r="G147" s="71" t="s">
        <v>19</v>
      </c>
      <c r="H147" s="179"/>
      <c r="I147" s="8">
        <v>9.98</v>
      </c>
      <c r="J147" s="5"/>
      <c r="K147" s="6">
        <f t="shared" si="20"/>
        <v>9.98</v>
      </c>
      <c r="L147" s="6">
        <v>1.66</v>
      </c>
      <c r="M147" s="6">
        <f t="shared" si="21"/>
        <v>8.32</v>
      </c>
      <c r="N147" s="7">
        <v>-9.98</v>
      </c>
      <c r="O147" s="7"/>
      <c r="P147" s="234">
        <f t="shared" si="19"/>
        <v>19547.340000000007</v>
      </c>
    </row>
    <row r="148" spans="1:16" ht="14" customHeight="1" x14ac:dyDescent="0.2">
      <c r="A148" s="121">
        <v>45307</v>
      </c>
      <c r="B148" s="71" t="s">
        <v>104</v>
      </c>
      <c r="C148" s="188" t="s">
        <v>578</v>
      </c>
      <c r="D148" s="71">
        <v>4176982</v>
      </c>
      <c r="E148" s="150" t="s">
        <v>114</v>
      </c>
      <c r="F148" s="71"/>
      <c r="G148" s="71" t="s">
        <v>50</v>
      </c>
      <c r="H148" s="179"/>
      <c r="I148" s="8">
        <v>24.81</v>
      </c>
      <c r="J148" s="5"/>
      <c r="K148" s="6">
        <f t="shared" si="20"/>
        <v>24.81</v>
      </c>
      <c r="L148" s="6"/>
      <c r="M148" s="6">
        <f t="shared" si="21"/>
        <v>24.81</v>
      </c>
      <c r="N148" s="7">
        <v>-24.81</v>
      </c>
      <c r="O148" s="7"/>
      <c r="P148" s="234">
        <f t="shared" si="19"/>
        <v>19522.530000000006</v>
      </c>
    </row>
    <row r="149" spans="1:16" ht="14" customHeight="1" x14ac:dyDescent="0.2">
      <c r="A149" s="121">
        <v>45314</v>
      </c>
      <c r="B149" s="71" t="s">
        <v>103</v>
      </c>
      <c r="C149" s="101" t="s">
        <v>579</v>
      </c>
      <c r="D149" s="71">
        <v>8750735729</v>
      </c>
      <c r="E149" s="150" t="s">
        <v>114</v>
      </c>
      <c r="F149" s="71" t="s">
        <v>601</v>
      </c>
      <c r="G149" s="71" t="s">
        <v>172</v>
      </c>
      <c r="H149" s="179"/>
      <c r="I149" s="8">
        <v>78.44</v>
      </c>
      <c r="J149" s="5"/>
      <c r="K149" s="6">
        <f t="shared" si="20"/>
        <v>78.44</v>
      </c>
      <c r="L149" s="6">
        <v>13.08</v>
      </c>
      <c r="M149" s="6">
        <f t="shared" si="21"/>
        <v>65.36</v>
      </c>
      <c r="N149" s="7">
        <v>-78.44</v>
      </c>
      <c r="O149" s="7"/>
      <c r="P149" s="234">
        <f t="shared" si="19"/>
        <v>19444.090000000007</v>
      </c>
    </row>
    <row r="150" spans="1:16" ht="14" customHeight="1" x14ac:dyDescent="0.2">
      <c r="A150" s="121">
        <v>45323</v>
      </c>
      <c r="B150" s="71" t="s">
        <v>580</v>
      </c>
      <c r="C150" s="101" t="s">
        <v>581</v>
      </c>
      <c r="D150" s="113">
        <v>45323</v>
      </c>
      <c r="E150" s="150" t="s">
        <v>114</v>
      </c>
      <c r="F150" s="71"/>
      <c r="G150" s="71" t="s">
        <v>69</v>
      </c>
      <c r="H150" s="179"/>
      <c r="I150" s="8">
        <v>225</v>
      </c>
      <c r="J150" s="5"/>
      <c r="K150" s="6">
        <f t="shared" si="20"/>
        <v>225</v>
      </c>
      <c r="L150" s="6"/>
      <c r="M150" s="6">
        <f t="shared" si="21"/>
        <v>225</v>
      </c>
      <c r="N150" s="7">
        <v>-225</v>
      </c>
      <c r="O150" s="7"/>
      <c r="P150" s="234">
        <f t="shared" si="19"/>
        <v>19219.090000000007</v>
      </c>
    </row>
    <row r="151" spans="1:16" ht="14" customHeight="1" x14ac:dyDescent="0.2">
      <c r="A151" s="121">
        <v>45342</v>
      </c>
      <c r="B151" s="71" t="s">
        <v>605</v>
      </c>
      <c r="C151" s="101" t="s">
        <v>591</v>
      </c>
      <c r="D151" s="71">
        <v>530648824</v>
      </c>
      <c r="E151" s="150" t="s">
        <v>114</v>
      </c>
      <c r="F151" s="71"/>
      <c r="G151" s="71" t="s">
        <v>23</v>
      </c>
      <c r="H151" s="179"/>
      <c r="I151" s="8">
        <v>842.96</v>
      </c>
      <c r="J151" s="5"/>
      <c r="K151" s="6">
        <f t="shared" si="20"/>
        <v>842.96</v>
      </c>
      <c r="L151" s="6"/>
      <c r="M151" s="6">
        <f t="shared" si="21"/>
        <v>842.96</v>
      </c>
      <c r="N151" s="7">
        <v>-842.96</v>
      </c>
      <c r="O151" s="7"/>
      <c r="P151" s="234">
        <f t="shared" si="19"/>
        <v>18376.130000000008</v>
      </c>
    </row>
    <row r="152" spans="1:16" ht="14" customHeight="1" x14ac:dyDescent="0.2">
      <c r="A152" s="121">
        <v>45343</v>
      </c>
      <c r="B152" s="71" t="s">
        <v>463</v>
      </c>
      <c r="C152" s="101" t="s">
        <v>604</v>
      </c>
      <c r="D152" s="71">
        <v>16463</v>
      </c>
      <c r="E152" s="150" t="s">
        <v>114</v>
      </c>
      <c r="F152" s="71"/>
      <c r="G152" s="71" t="s">
        <v>106</v>
      </c>
      <c r="H152" s="179"/>
      <c r="I152" s="8">
        <v>388</v>
      </c>
      <c r="J152" s="5"/>
      <c r="K152" s="6">
        <f t="shared" si="20"/>
        <v>388</v>
      </c>
      <c r="L152" s="6"/>
      <c r="M152" s="6">
        <f t="shared" si="21"/>
        <v>388</v>
      </c>
      <c r="N152" s="7">
        <v>-388</v>
      </c>
      <c r="O152" s="7"/>
      <c r="P152" s="234">
        <f t="shared" si="19"/>
        <v>17988.130000000008</v>
      </c>
    </row>
    <row r="153" spans="1:16" ht="14" customHeight="1" x14ac:dyDescent="0.2">
      <c r="A153" s="121">
        <v>45351</v>
      </c>
      <c r="B153" s="71" t="s">
        <v>322</v>
      </c>
      <c r="C153" s="101" t="s">
        <v>592</v>
      </c>
      <c r="D153" s="71">
        <v>950</v>
      </c>
      <c r="E153" s="150" t="s">
        <v>114</v>
      </c>
      <c r="F153" s="71" t="s">
        <v>601</v>
      </c>
      <c r="G153" s="71" t="s">
        <v>64</v>
      </c>
      <c r="H153" s="179"/>
      <c r="I153" s="8">
        <v>660</v>
      </c>
      <c r="J153" s="5"/>
      <c r="K153" s="6">
        <f t="shared" si="20"/>
        <v>660</v>
      </c>
      <c r="L153" s="6">
        <v>110</v>
      </c>
      <c r="M153" s="6">
        <f t="shared" si="21"/>
        <v>550</v>
      </c>
      <c r="N153" s="7">
        <v>-660</v>
      </c>
      <c r="O153" s="7"/>
      <c r="P153" s="234">
        <f t="shared" si="19"/>
        <v>17328.130000000008</v>
      </c>
    </row>
    <row r="154" spans="1:16" ht="14" customHeight="1" x14ac:dyDescent="0.2">
      <c r="A154" s="121">
        <v>45350</v>
      </c>
      <c r="B154" s="71" t="s">
        <v>103</v>
      </c>
      <c r="C154" s="101" t="s">
        <v>593</v>
      </c>
      <c r="D154" s="71" t="s">
        <v>594</v>
      </c>
      <c r="E154" s="150" t="s">
        <v>114</v>
      </c>
      <c r="F154" s="71" t="s">
        <v>601</v>
      </c>
      <c r="G154" s="71" t="s">
        <v>19</v>
      </c>
      <c r="H154" s="179"/>
      <c r="I154" s="8">
        <v>55.04</v>
      </c>
      <c r="J154" s="5"/>
      <c r="K154" s="6">
        <f t="shared" si="20"/>
        <v>55.04</v>
      </c>
      <c r="L154" s="6">
        <v>9.17</v>
      </c>
      <c r="M154" s="6">
        <f t="shared" si="21"/>
        <v>45.87</v>
      </c>
      <c r="N154" s="7">
        <v>-55.04</v>
      </c>
      <c r="O154" s="7"/>
      <c r="P154" s="234">
        <f t="shared" si="19"/>
        <v>17273.090000000007</v>
      </c>
    </row>
    <row r="155" spans="1:16" ht="14" customHeight="1" x14ac:dyDescent="0.2">
      <c r="A155" s="121">
        <v>45351</v>
      </c>
      <c r="B155" s="71" t="s">
        <v>595</v>
      </c>
      <c r="C155" s="101" t="s">
        <v>598</v>
      </c>
      <c r="D155" s="71"/>
      <c r="E155" s="150"/>
      <c r="F155" s="71"/>
      <c r="G155" s="71" t="s">
        <v>13</v>
      </c>
      <c r="H155" s="179"/>
      <c r="I155" s="8">
        <v>62.16</v>
      </c>
      <c r="J155" s="5"/>
      <c r="K155" s="6">
        <f t="shared" si="20"/>
        <v>62.16</v>
      </c>
      <c r="L155" s="6"/>
      <c r="M155" s="6">
        <f t="shared" si="21"/>
        <v>62.16</v>
      </c>
      <c r="N155" s="7">
        <v>-355.93</v>
      </c>
      <c r="O155" s="7"/>
      <c r="P155" s="234">
        <f t="shared" si="19"/>
        <v>16917.160000000007</v>
      </c>
    </row>
    <row r="156" spans="1:16" ht="14" customHeight="1" x14ac:dyDescent="0.2">
      <c r="A156" s="121">
        <v>45351</v>
      </c>
      <c r="B156" s="71" t="s">
        <v>596</v>
      </c>
      <c r="C156" s="101" t="s">
        <v>598</v>
      </c>
      <c r="D156" s="71"/>
      <c r="E156" s="150"/>
      <c r="F156" s="71"/>
      <c r="G156" s="71" t="s">
        <v>13</v>
      </c>
      <c r="H156" s="179"/>
      <c r="I156" s="8">
        <v>248.36</v>
      </c>
      <c r="J156" s="5"/>
      <c r="K156" s="6">
        <f t="shared" si="20"/>
        <v>248.36</v>
      </c>
      <c r="L156" s="6"/>
      <c r="M156" s="6">
        <f t="shared" si="21"/>
        <v>248.36</v>
      </c>
      <c r="N156" s="7">
        <v>-88.8</v>
      </c>
      <c r="O156" s="7"/>
      <c r="P156" s="234">
        <f t="shared" si="19"/>
        <v>16828.360000000008</v>
      </c>
    </row>
    <row r="157" spans="1:16" ht="14" customHeight="1" x14ac:dyDescent="0.2">
      <c r="A157" s="121">
        <v>45351</v>
      </c>
      <c r="B157" s="71" t="s">
        <v>597</v>
      </c>
      <c r="C157" s="101" t="s">
        <v>599</v>
      </c>
      <c r="D157" s="71"/>
      <c r="E157" s="150"/>
      <c r="F157" s="71"/>
      <c r="G157" s="71" t="s">
        <v>19</v>
      </c>
      <c r="H157" s="179"/>
      <c r="I157" s="8">
        <v>1.1299999999999999</v>
      </c>
      <c r="J157" s="5"/>
      <c r="K157" s="6">
        <f t="shared" si="20"/>
        <v>1.1299999999999999</v>
      </c>
      <c r="L157" s="6"/>
      <c r="M157" s="6">
        <f t="shared" si="21"/>
        <v>1.1299999999999999</v>
      </c>
      <c r="N157" s="7"/>
      <c r="O157" s="7"/>
      <c r="P157" s="234">
        <f t="shared" si="19"/>
        <v>16828.360000000008</v>
      </c>
    </row>
    <row r="158" spans="1:16" ht="14" customHeight="1" x14ac:dyDescent="0.2">
      <c r="A158" s="121">
        <v>45351</v>
      </c>
      <c r="B158" s="71" t="s">
        <v>595</v>
      </c>
      <c r="C158" s="101" t="s">
        <v>600</v>
      </c>
      <c r="D158" s="71"/>
      <c r="E158" s="150"/>
      <c r="F158" s="71"/>
      <c r="G158" s="71" t="s">
        <v>17</v>
      </c>
      <c r="H158" s="179"/>
      <c r="I158" s="8">
        <v>26.64</v>
      </c>
      <c r="J158" s="5"/>
      <c r="K158" s="6">
        <f t="shared" si="20"/>
        <v>26.64</v>
      </c>
      <c r="L158" s="6"/>
      <c r="M158" s="6">
        <f t="shared" si="21"/>
        <v>26.64</v>
      </c>
      <c r="N158" s="7"/>
      <c r="O158" s="7"/>
      <c r="P158" s="234">
        <f t="shared" si="19"/>
        <v>16828.360000000008</v>
      </c>
    </row>
    <row r="159" spans="1:16" ht="14" customHeight="1" x14ac:dyDescent="0.2">
      <c r="A159" s="121">
        <v>45351</v>
      </c>
      <c r="B159" s="71" t="s">
        <v>596</v>
      </c>
      <c r="C159" s="101" t="s">
        <v>600</v>
      </c>
      <c r="D159" s="71"/>
      <c r="E159" s="150"/>
      <c r="F159" s="71"/>
      <c r="G159" s="71" t="s">
        <v>17</v>
      </c>
      <c r="H159" s="179"/>
      <c r="I159" s="8">
        <v>106.44</v>
      </c>
      <c r="J159" s="5"/>
      <c r="K159" s="6">
        <f t="shared" si="20"/>
        <v>106.44</v>
      </c>
      <c r="L159" s="6"/>
      <c r="M159" s="6">
        <f t="shared" si="21"/>
        <v>106.44</v>
      </c>
      <c r="N159" s="7"/>
      <c r="O159" s="7"/>
      <c r="P159" s="234">
        <f t="shared" si="19"/>
        <v>16828.360000000008</v>
      </c>
    </row>
    <row r="160" spans="1:16" ht="14" customHeight="1" x14ac:dyDescent="0.2">
      <c r="A160" s="121">
        <v>45358</v>
      </c>
      <c r="B160" s="71" t="s">
        <v>127</v>
      </c>
      <c r="C160" s="101" t="s">
        <v>642</v>
      </c>
      <c r="D160" s="71"/>
      <c r="E160" s="150"/>
      <c r="F160" s="71"/>
      <c r="G160" s="71" t="s">
        <v>9</v>
      </c>
      <c r="H160" s="179">
        <v>4126.55</v>
      </c>
      <c r="I160" s="8"/>
      <c r="J160" s="5"/>
      <c r="K160" s="6">
        <f t="shared" ref="K160:K188" si="24">I160</f>
        <v>0</v>
      </c>
      <c r="L160" s="6"/>
      <c r="M160" s="6">
        <f t="shared" ref="M160:M188" si="25">K160-L160</f>
        <v>0</v>
      </c>
      <c r="N160" s="7">
        <v>4126.55</v>
      </c>
      <c r="O160" s="7"/>
      <c r="P160" s="234">
        <f t="shared" si="19"/>
        <v>20954.910000000007</v>
      </c>
    </row>
    <row r="161" spans="1:17" ht="14" customHeight="1" x14ac:dyDescent="0.2">
      <c r="A161" s="121">
        <v>45369</v>
      </c>
      <c r="B161" s="71" t="s">
        <v>607</v>
      </c>
      <c r="C161" s="101" t="s">
        <v>609</v>
      </c>
      <c r="D161" s="71"/>
      <c r="E161" s="150"/>
      <c r="F161" s="71"/>
      <c r="G161" s="71" t="s">
        <v>13</v>
      </c>
      <c r="H161" s="179"/>
      <c r="I161" s="8">
        <v>62.02</v>
      </c>
      <c r="J161" s="5"/>
      <c r="K161" s="6">
        <f t="shared" si="24"/>
        <v>62.02</v>
      </c>
      <c r="L161" s="6"/>
      <c r="M161" s="6">
        <f t="shared" si="25"/>
        <v>62.02</v>
      </c>
      <c r="N161" s="7">
        <v>-88.6</v>
      </c>
      <c r="O161" s="7"/>
      <c r="P161" s="234">
        <f t="shared" si="19"/>
        <v>20866.310000000009</v>
      </c>
    </row>
    <row r="162" spans="1:17" ht="14" customHeight="1" x14ac:dyDescent="0.2">
      <c r="A162" s="121">
        <v>45369</v>
      </c>
      <c r="B162" s="71" t="s">
        <v>608</v>
      </c>
      <c r="C162" s="101" t="s">
        <v>609</v>
      </c>
      <c r="D162" s="71"/>
      <c r="E162" s="150"/>
      <c r="F162" s="71"/>
      <c r="G162" s="71" t="s">
        <v>13</v>
      </c>
      <c r="H162" s="179"/>
      <c r="I162" s="8">
        <v>248.5</v>
      </c>
      <c r="J162" s="5"/>
      <c r="K162" s="6">
        <f t="shared" si="24"/>
        <v>248.5</v>
      </c>
      <c r="L162" s="6"/>
      <c r="M162" s="6">
        <f t="shared" si="25"/>
        <v>248.5</v>
      </c>
      <c r="N162" s="7">
        <v>-356.13</v>
      </c>
      <c r="O162" s="7"/>
      <c r="P162" s="234">
        <f t="shared" si="19"/>
        <v>20510.180000000008</v>
      </c>
    </row>
    <row r="163" spans="1:17" ht="14" customHeight="1" x14ac:dyDescent="0.2">
      <c r="A163" s="121">
        <v>45369</v>
      </c>
      <c r="B163" s="71" t="s">
        <v>608</v>
      </c>
      <c r="C163" s="101" t="s">
        <v>610</v>
      </c>
      <c r="D163" s="71"/>
      <c r="E163" s="150"/>
      <c r="F163" s="71"/>
      <c r="G163" s="71" t="s">
        <v>19</v>
      </c>
      <c r="H163" s="179"/>
      <c r="I163" s="8">
        <v>1.1299999999999999</v>
      </c>
      <c r="J163" s="5"/>
      <c r="K163" s="6">
        <f t="shared" si="24"/>
        <v>1.1299999999999999</v>
      </c>
      <c r="L163" s="6"/>
      <c r="M163" s="6">
        <f t="shared" si="25"/>
        <v>1.1299999999999999</v>
      </c>
      <c r="N163" s="7"/>
      <c r="O163" s="7"/>
      <c r="P163" s="234">
        <f t="shared" si="19"/>
        <v>20510.180000000008</v>
      </c>
    </row>
    <row r="164" spans="1:17" ht="14" customHeight="1" x14ac:dyDescent="0.2">
      <c r="A164" s="121">
        <v>45369</v>
      </c>
      <c r="B164" s="71" t="s">
        <v>607</v>
      </c>
      <c r="C164" s="101" t="s">
        <v>611</v>
      </c>
      <c r="D164" s="71"/>
      <c r="E164" s="150"/>
      <c r="F164" s="71"/>
      <c r="G164" s="71" t="s">
        <v>17</v>
      </c>
      <c r="H164" s="179"/>
      <c r="I164" s="8">
        <v>26.58</v>
      </c>
      <c r="J164" s="5"/>
      <c r="K164" s="6">
        <f t="shared" si="24"/>
        <v>26.58</v>
      </c>
      <c r="L164" s="6"/>
      <c r="M164" s="6">
        <f t="shared" si="25"/>
        <v>26.58</v>
      </c>
      <c r="N164" s="7"/>
      <c r="O164" s="7"/>
      <c r="P164" s="234">
        <f t="shared" si="19"/>
        <v>20510.180000000008</v>
      </c>
    </row>
    <row r="165" spans="1:17" ht="14" customHeight="1" x14ac:dyDescent="0.2">
      <c r="A165" s="121">
        <v>45369</v>
      </c>
      <c r="B165" s="71" t="s">
        <v>608</v>
      </c>
      <c r="C165" s="101" t="s">
        <v>611</v>
      </c>
      <c r="D165" s="71"/>
      <c r="E165" s="150"/>
      <c r="F165" s="71"/>
      <c r="G165" s="71" t="s">
        <v>17</v>
      </c>
      <c r="H165" s="179"/>
      <c r="I165" s="8">
        <v>106.5</v>
      </c>
      <c r="J165" s="5"/>
      <c r="K165" s="6">
        <f t="shared" si="24"/>
        <v>106.5</v>
      </c>
      <c r="L165" s="6"/>
      <c r="M165" s="6">
        <f t="shared" si="25"/>
        <v>106.5</v>
      </c>
      <c r="N165" s="7"/>
      <c r="O165" s="7"/>
      <c r="P165" s="234">
        <f t="shared" si="19"/>
        <v>20510.180000000008</v>
      </c>
    </row>
    <row r="166" spans="1:17" ht="14" customHeight="1" x14ac:dyDescent="0.2">
      <c r="A166" s="121">
        <v>45369</v>
      </c>
      <c r="B166" s="71" t="s">
        <v>103</v>
      </c>
      <c r="C166" s="101" t="s">
        <v>613</v>
      </c>
      <c r="D166" s="71" t="s">
        <v>326</v>
      </c>
      <c r="E166" s="150" t="s">
        <v>114</v>
      </c>
      <c r="F166" s="71" t="s">
        <v>617</v>
      </c>
      <c r="G166" s="71" t="s">
        <v>19</v>
      </c>
      <c r="H166" s="179"/>
      <c r="I166" s="8">
        <v>49.27</v>
      </c>
      <c r="J166" s="5"/>
      <c r="K166" s="6">
        <f t="shared" si="24"/>
        <v>49.27</v>
      </c>
      <c r="L166" s="6">
        <v>4.33</v>
      </c>
      <c r="M166" s="6">
        <f t="shared" si="25"/>
        <v>44.940000000000005</v>
      </c>
      <c r="N166" s="7">
        <v>-49.27</v>
      </c>
      <c r="O166" s="7"/>
      <c r="P166" s="234">
        <f t="shared" si="19"/>
        <v>20460.910000000007</v>
      </c>
    </row>
    <row r="167" spans="1:17" ht="14" customHeight="1" x14ac:dyDescent="0.2">
      <c r="A167" s="121">
        <v>45370</v>
      </c>
      <c r="B167" s="71" t="s">
        <v>101</v>
      </c>
      <c r="C167" s="101" t="s">
        <v>612</v>
      </c>
      <c r="D167" s="71">
        <v>603122262</v>
      </c>
      <c r="E167" s="150" t="s">
        <v>114</v>
      </c>
      <c r="F167" s="71" t="s">
        <v>617</v>
      </c>
      <c r="G167" s="71" t="s">
        <v>68</v>
      </c>
      <c r="H167" s="179"/>
      <c r="I167" s="8">
        <v>444.28</v>
      </c>
      <c r="J167" s="5"/>
      <c r="K167" s="6">
        <f t="shared" si="24"/>
        <v>444.28</v>
      </c>
      <c r="L167" s="6">
        <v>74.040000000000006</v>
      </c>
      <c r="M167" s="6">
        <f t="shared" si="25"/>
        <v>370.23999999999995</v>
      </c>
      <c r="N167" s="7">
        <v>-444.28</v>
      </c>
      <c r="O167" s="7"/>
      <c r="P167" s="234">
        <f t="shared" si="19"/>
        <v>20016.630000000008</v>
      </c>
    </row>
    <row r="168" spans="1:17" ht="14" customHeight="1" x14ac:dyDescent="0.2">
      <c r="A168" s="121">
        <v>45378</v>
      </c>
      <c r="B168" s="71" t="s">
        <v>127</v>
      </c>
      <c r="C168" s="101" t="s">
        <v>614</v>
      </c>
      <c r="D168" s="71" t="s">
        <v>249</v>
      </c>
      <c r="E168" s="150" t="s">
        <v>114</v>
      </c>
      <c r="G168" s="71" t="s">
        <v>9</v>
      </c>
      <c r="H168" s="179">
        <v>110</v>
      </c>
      <c r="I168" s="8"/>
      <c r="J168" s="5"/>
      <c r="K168" s="6">
        <f t="shared" si="24"/>
        <v>0</v>
      </c>
      <c r="L168" s="6"/>
      <c r="M168" s="6">
        <f t="shared" si="25"/>
        <v>0</v>
      </c>
      <c r="N168" s="7">
        <v>110</v>
      </c>
      <c r="O168" s="7"/>
      <c r="P168" s="234">
        <f t="shared" si="19"/>
        <v>20126.630000000008</v>
      </c>
    </row>
    <row r="169" spans="1:17" ht="14" customHeight="1" x14ac:dyDescent="0.2">
      <c r="A169" s="252">
        <v>45379</v>
      </c>
      <c r="B169" s="253" t="s">
        <v>482</v>
      </c>
      <c r="C169" s="254" t="s">
        <v>615</v>
      </c>
      <c r="D169" s="253"/>
      <c r="E169" s="255"/>
      <c r="F169" s="253"/>
      <c r="G169" s="253" t="s">
        <v>165</v>
      </c>
      <c r="H169" s="256"/>
      <c r="I169" s="257">
        <v>30</v>
      </c>
      <c r="J169" s="258"/>
      <c r="K169" s="258">
        <f t="shared" si="24"/>
        <v>30</v>
      </c>
      <c r="L169" s="258"/>
      <c r="M169" s="258">
        <f t="shared" si="25"/>
        <v>30</v>
      </c>
      <c r="N169" s="258">
        <v>-30</v>
      </c>
      <c r="O169" s="258"/>
      <c r="P169" s="259">
        <f>P168+N169</f>
        <v>20096.630000000008</v>
      </c>
      <c r="Q169" s="260" t="s">
        <v>641</v>
      </c>
    </row>
    <row r="170" spans="1:17" ht="14" customHeight="1" x14ac:dyDescent="0.2">
      <c r="A170" s="246">
        <v>45397</v>
      </c>
      <c r="B170" s="71" t="s">
        <v>626</v>
      </c>
      <c r="C170" s="101" t="s">
        <v>390</v>
      </c>
      <c r="D170" s="71"/>
      <c r="E170" s="150"/>
      <c r="F170" s="71"/>
      <c r="G170" s="71" t="s">
        <v>13</v>
      </c>
      <c r="H170" s="179"/>
      <c r="I170" s="8">
        <v>62.02</v>
      </c>
      <c r="J170" s="5"/>
      <c r="K170" s="6">
        <f t="shared" ref="K170:K186" si="26">I170</f>
        <v>62.02</v>
      </c>
      <c r="L170" s="6"/>
      <c r="M170" s="6">
        <f t="shared" ref="M170:M186" si="27">K170-L170</f>
        <v>62.02</v>
      </c>
      <c r="N170" s="7">
        <v>-382.45</v>
      </c>
      <c r="O170" s="7"/>
      <c r="P170" s="234">
        <f t="shared" ref="P170:P188" si="28">P169+N170</f>
        <v>19714.180000000008</v>
      </c>
      <c r="Q170" s="93"/>
    </row>
    <row r="171" spans="1:17" ht="14" customHeight="1" x14ac:dyDescent="0.2">
      <c r="A171" s="246">
        <v>45397</v>
      </c>
      <c r="B171" s="71" t="s">
        <v>627</v>
      </c>
      <c r="C171" s="101" t="s">
        <v>390</v>
      </c>
      <c r="D171" s="71"/>
      <c r="E171" s="150"/>
      <c r="F171" s="71"/>
      <c r="G171" s="71" t="s">
        <v>13</v>
      </c>
      <c r="H171" s="179"/>
      <c r="I171" s="8">
        <v>248.5</v>
      </c>
      <c r="J171" s="5"/>
      <c r="K171" s="6">
        <f t="shared" si="26"/>
        <v>248.5</v>
      </c>
      <c r="L171" s="6"/>
      <c r="M171" s="6">
        <f t="shared" si="27"/>
        <v>248.5</v>
      </c>
      <c r="N171" s="7">
        <v>-88.6</v>
      </c>
      <c r="O171" s="7"/>
      <c r="P171" s="234">
        <f t="shared" si="28"/>
        <v>19625.580000000009</v>
      </c>
      <c r="Q171" s="93"/>
    </row>
    <row r="172" spans="1:17" ht="14" customHeight="1" x14ac:dyDescent="0.2">
      <c r="A172" s="246">
        <v>45397</v>
      </c>
      <c r="B172" s="71" t="s">
        <v>627</v>
      </c>
      <c r="C172" s="101" t="s">
        <v>391</v>
      </c>
      <c r="D172" s="71"/>
      <c r="E172" s="150"/>
      <c r="F172" s="71"/>
      <c r="G172" s="71" t="s">
        <v>19</v>
      </c>
      <c r="H172" s="179"/>
      <c r="I172" s="8">
        <v>27.45</v>
      </c>
      <c r="J172" s="5"/>
      <c r="K172" s="6">
        <f t="shared" si="26"/>
        <v>27.45</v>
      </c>
      <c r="L172" s="6"/>
      <c r="M172" s="6">
        <f t="shared" si="27"/>
        <v>27.45</v>
      </c>
      <c r="N172" s="7"/>
      <c r="O172" s="7"/>
      <c r="P172" s="234">
        <f t="shared" si="28"/>
        <v>19625.580000000009</v>
      </c>
      <c r="Q172" s="93"/>
    </row>
    <row r="173" spans="1:17" ht="14" customHeight="1" x14ac:dyDescent="0.2">
      <c r="A173" s="246">
        <v>45397</v>
      </c>
      <c r="B173" s="71" t="s">
        <v>626</v>
      </c>
      <c r="C173" s="101" t="s">
        <v>628</v>
      </c>
      <c r="D173" s="71"/>
      <c r="E173" s="150"/>
      <c r="F173" s="71"/>
      <c r="G173" s="71" t="s">
        <v>17</v>
      </c>
      <c r="H173" s="179"/>
      <c r="I173" s="8">
        <v>26.58</v>
      </c>
      <c r="J173" s="5"/>
      <c r="K173" s="6">
        <f t="shared" si="26"/>
        <v>26.58</v>
      </c>
      <c r="L173" s="6"/>
      <c r="M173" s="6">
        <f t="shared" si="27"/>
        <v>26.58</v>
      </c>
      <c r="N173" s="7"/>
      <c r="O173" s="7"/>
      <c r="P173" s="234">
        <f t="shared" si="28"/>
        <v>19625.580000000009</v>
      </c>
      <c r="Q173" s="93"/>
    </row>
    <row r="174" spans="1:17" ht="14" customHeight="1" x14ac:dyDescent="0.2">
      <c r="A174" s="246">
        <v>45397</v>
      </c>
      <c r="B174" s="71" t="s">
        <v>627</v>
      </c>
      <c r="C174" s="101" t="s">
        <v>628</v>
      </c>
      <c r="D174" s="71"/>
      <c r="E174" s="150"/>
      <c r="F174" s="71"/>
      <c r="G174" s="71" t="s">
        <v>17</v>
      </c>
      <c r="H174" s="179"/>
      <c r="I174" s="8">
        <v>106.5</v>
      </c>
      <c r="J174" s="5"/>
      <c r="K174" s="6">
        <f t="shared" si="26"/>
        <v>106.5</v>
      </c>
      <c r="L174" s="6"/>
      <c r="M174" s="6">
        <f t="shared" si="27"/>
        <v>106.5</v>
      </c>
      <c r="N174" s="7"/>
      <c r="O174" s="7"/>
      <c r="P174" s="234">
        <f t="shared" si="28"/>
        <v>19625.580000000009</v>
      </c>
      <c r="Q174" s="93"/>
    </row>
    <row r="175" spans="1:17" ht="14" customHeight="1" x14ac:dyDescent="0.2">
      <c r="A175" s="246">
        <v>45367</v>
      </c>
      <c r="B175" s="101" t="s">
        <v>103</v>
      </c>
      <c r="C175" s="134" t="s">
        <v>629</v>
      </c>
      <c r="D175" s="71" t="s">
        <v>259</v>
      </c>
      <c r="E175" s="150" t="s">
        <v>114</v>
      </c>
      <c r="F175" s="71"/>
      <c r="G175" s="71" t="s">
        <v>69</v>
      </c>
      <c r="H175" s="179"/>
      <c r="I175" s="8">
        <v>15.5</v>
      </c>
      <c r="J175" s="5"/>
      <c r="K175" s="6">
        <f t="shared" si="26"/>
        <v>15.5</v>
      </c>
      <c r="L175" s="6"/>
      <c r="M175" s="6">
        <f t="shared" si="27"/>
        <v>15.5</v>
      </c>
      <c r="N175" s="7">
        <v>-15.5</v>
      </c>
      <c r="O175" s="7"/>
      <c r="P175" s="234">
        <f t="shared" si="28"/>
        <v>19610.080000000009</v>
      </c>
      <c r="Q175" s="93"/>
    </row>
    <row r="176" spans="1:17" ht="14" customHeight="1" x14ac:dyDescent="0.2">
      <c r="A176" s="246">
        <v>45382</v>
      </c>
      <c r="B176" s="101" t="s">
        <v>306</v>
      </c>
      <c r="C176" s="134" t="s">
        <v>630</v>
      </c>
      <c r="D176" s="71">
        <v>310324</v>
      </c>
      <c r="E176" s="150" t="s">
        <v>114</v>
      </c>
      <c r="F176" s="71"/>
      <c r="G176" s="71" t="s">
        <v>46</v>
      </c>
      <c r="H176" s="179"/>
      <c r="I176" s="8">
        <v>300</v>
      </c>
      <c r="J176" s="5"/>
      <c r="K176" s="6">
        <f t="shared" si="26"/>
        <v>300</v>
      </c>
      <c r="L176" s="6"/>
      <c r="M176" s="6">
        <f t="shared" si="27"/>
        <v>300</v>
      </c>
      <c r="N176" s="7">
        <v>-300</v>
      </c>
      <c r="O176" s="7"/>
      <c r="P176" s="234">
        <f t="shared" si="28"/>
        <v>19310.080000000009</v>
      </c>
      <c r="Q176" s="93" t="s">
        <v>768</v>
      </c>
    </row>
    <row r="177" spans="1:17" ht="14" customHeight="1" x14ac:dyDescent="0.2">
      <c r="A177" s="246">
        <v>45383</v>
      </c>
      <c r="B177" s="101" t="s">
        <v>102</v>
      </c>
      <c r="C177" s="134" t="s">
        <v>631</v>
      </c>
      <c r="D177" s="71"/>
      <c r="E177" s="150"/>
      <c r="F177" s="149" t="s">
        <v>635</v>
      </c>
      <c r="G177" s="71" t="s">
        <v>30</v>
      </c>
      <c r="H177" s="179"/>
      <c r="I177" s="8">
        <v>306.89</v>
      </c>
      <c r="J177" s="5"/>
      <c r="K177" s="6">
        <f t="shared" si="26"/>
        <v>306.89</v>
      </c>
      <c r="L177" s="6"/>
      <c r="M177" s="6">
        <f t="shared" si="27"/>
        <v>306.89</v>
      </c>
      <c r="N177" s="7">
        <v>-306.89</v>
      </c>
      <c r="O177" s="7"/>
      <c r="P177" s="234">
        <f t="shared" si="28"/>
        <v>19003.19000000001</v>
      </c>
      <c r="Q177" s="93"/>
    </row>
    <row r="178" spans="1:17" ht="14" customHeight="1" x14ac:dyDescent="0.2">
      <c r="A178" s="246">
        <v>45386</v>
      </c>
      <c r="B178" s="101" t="s">
        <v>322</v>
      </c>
      <c r="C178" s="134" t="s">
        <v>632</v>
      </c>
      <c r="D178" s="71">
        <v>958</v>
      </c>
      <c r="E178" s="150" t="s">
        <v>114</v>
      </c>
      <c r="F178" s="149" t="s">
        <v>635</v>
      </c>
      <c r="G178" s="71" t="s">
        <v>64</v>
      </c>
      <c r="H178" s="179"/>
      <c r="I178" s="8">
        <v>96</v>
      </c>
      <c r="J178" s="5"/>
      <c r="K178" s="6">
        <f t="shared" si="26"/>
        <v>96</v>
      </c>
      <c r="L178" s="6">
        <v>16</v>
      </c>
      <c r="M178" s="6">
        <f t="shared" si="27"/>
        <v>80</v>
      </c>
      <c r="N178" s="7">
        <v>-96</v>
      </c>
      <c r="O178" s="7"/>
      <c r="P178" s="234">
        <f t="shared" si="28"/>
        <v>18907.19000000001</v>
      </c>
      <c r="Q178" s="93"/>
    </row>
    <row r="179" spans="1:17" ht="14" customHeight="1" x14ac:dyDescent="0.2">
      <c r="A179" s="246">
        <v>45382</v>
      </c>
      <c r="B179" s="101" t="s">
        <v>633</v>
      </c>
      <c r="C179" s="134" t="s">
        <v>634</v>
      </c>
      <c r="D179" s="71">
        <v>15797</v>
      </c>
      <c r="E179" s="150" t="s">
        <v>114</v>
      </c>
      <c r="F179" s="149" t="s">
        <v>635</v>
      </c>
      <c r="G179" s="71" t="s">
        <v>57</v>
      </c>
      <c r="H179" s="179"/>
      <c r="I179" s="8">
        <v>453.6</v>
      </c>
      <c r="J179" s="5"/>
      <c r="K179" s="6">
        <f t="shared" si="26"/>
        <v>453.6</v>
      </c>
      <c r="L179" s="6">
        <v>75.599999999999994</v>
      </c>
      <c r="M179" s="6">
        <f t="shared" si="27"/>
        <v>378</v>
      </c>
      <c r="N179" s="7">
        <v>-453.6</v>
      </c>
      <c r="O179" s="7"/>
      <c r="P179" s="234">
        <f t="shared" si="28"/>
        <v>18453.590000000011</v>
      </c>
      <c r="Q179" s="93"/>
    </row>
    <row r="180" spans="1:17" ht="14" customHeight="1" x14ac:dyDescent="0.2">
      <c r="A180" s="246">
        <v>45394</v>
      </c>
      <c r="B180" s="71" t="s">
        <v>35</v>
      </c>
      <c r="C180" s="101" t="s">
        <v>636</v>
      </c>
      <c r="D180" s="71" t="s">
        <v>637</v>
      </c>
      <c r="E180" s="150" t="s">
        <v>114</v>
      </c>
      <c r="F180" s="149" t="s">
        <v>635</v>
      </c>
      <c r="G180" s="71" t="s">
        <v>34</v>
      </c>
      <c r="H180" s="179"/>
      <c r="I180" s="8">
        <v>112</v>
      </c>
      <c r="J180" s="5"/>
      <c r="K180" s="6">
        <f t="shared" si="26"/>
        <v>112</v>
      </c>
      <c r="L180" s="6"/>
      <c r="M180" s="6">
        <f t="shared" si="27"/>
        <v>112</v>
      </c>
      <c r="N180" s="7">
        <v>-112</v>
      </c>
      <c r="O180" s="7"/>
      <c r="P180" s="234">
        <f t="shared" si="28"/>
        <v>18341.590000000011</v>
      </c>
      <c r="Q180" s="93"/>
    </row>
    <row r="181" spans="1:17" ht="14" customHeight="1" x14ac:dyDescent="0.2">
      <c r="A181" s="246">
        <v>45397</v>
      </c>
      <c r="B181" s="71" t="s">
        <v>513</v>
      </c>
      <c r="C181" s="101" t="s">
        <v>639</v>
      </c>
      <c r="D181" s="71" t="s">
        <v>332</v>
      </c>
      <c r="E181" s="150"/>
      <c r="F181" s="149" t="s">
        <v>635</v>
      </c>
      <c r="G181" s="151" t="s">
        <v>165</v>
      </c>
      <c r="H181" s="179"/>
      <c r="I181" s="8">
        <v>231.8</v>
      </c>
      <c r="J181" s="5"/>
      <c r="K181" s="6">
        <f t="shared" si="26"/>
        <v>231.8</v>
      </c>
      <c r="L181" s="6">
        <v>1.3</v>
      </c>
      <c r="M181" s="6">
        <f t="shared" si="27"/>
        <v>230.5</v>
      </c>
      <c r="N181" s="7">
        <v>-231.8</v>
      </c>
      <c r="O181" s="7"/>
      <c r="P181" s="234">
        <f t="shared" si="28"/>
        <v>18109.790000000012</v>
      </c>
      <c r="Q181" s="93"/>
    </row>
    <row r="182" spans="1:17" ht="14" customHeight="1" x14ac:dyDescent="0.2">
      <c r="A182" s="246">
        <v>45401</v>
      </c>
      <c r="B182" s="71" t="s">
        <v>127</v>
      </c>
      <c r="C182" s="101" t="s">
        <v>638</v>
      </c>
      <c r="D182" s="102" t="s">
        <v>249</v>
      </c>
      <c r="E182" s="150" t="s">
        <v>114</v>
      </c>
      <c r="F182" s="149" t="s">
        <v>635</v>
      </c>
      <c r="G182" s="151" t="s">
        <v>4</v>
      </c>
      <c r="H182" s="179">
        <v>12500</v>
      </c>
      <c r="I182" s="8"/>
      <c r="J182" s="5"/>
      <c r="K182" s="6">
        <f t="shared" ref="K182" si="29">I182</f>
        <v>0</v>
      </c>
      <c r="L182" s="6"/>
      <c r="M182" s="6">
        <f t="shared" ref="M182" si="30">K182-L182</f>
        <v>0</v>
      </c>
      <c r="N182" s="7">
        <v>12500</v>
      </c>
      <c r="O182" s="7"/>
      <c r="P182" s="234">
        <f t="shared" si="28"/>
        <v>30609.790000000012</v>
      </c>
      <c r="Q182" s="93"/>
    </row>
    <row r="183" spans="1:17" ht="14" customHeight="1" x14ac:dyDescent="0.2">
      <c r="A183" s="246">
        <v>45394</v>
      </c>
      <c r="B183" s="71" t="s">
        <v>104</v>
      </c>
      <c r="C183" s="188" t="s">
        <v>640</v>
      </c>
      <c r="D183" s="71">
        <v>4857611</v>
      </c>
      <c r="E183" s="150" t="s">
        <v>114</v>
      </c>
      <c r="F183" s="149" t="s">
        <v>635</v>
      </c>
      <c r="G183" s="71" t="s">
        <v>50</v>
      </c>
      <c r="H183" s="179"/>
      <c r="I183" s="8">
        <v>85.62</v>
      </c>
      <c r="J183" s="5"/>
      <c r="K183" s="6">
        <v>85.62</v>
      </c>
      <c r="L183" s="6"/>
      <c r="M183" s="6">
        <f t="shared" si="27"/>
        <v>85.62</v>
      </c>
      <c r="N183" s="7">
        <v>-85.62</v>
      </c>
      <c r="O183" s="7"/>
      <c r="P183" s="234">
        <f t="shared" si="28"/>
        <v>30524.170000000013</v>
      </c>
      <c r="Q183" s="93" t="s">
        <v>643</v>
      </c>
    </row>
    <row r="184" spans="1:17" ht="14" customHeight="1" x14ac:dyDescent="0.2">
      <c r="A184" s="246"/>
      <c r="B184" s="71"/>
      <c r="C184" s="101"/>
      <c r="D184" s="71"/>
      <c r="E184" s="150"/>
      <c r="F184" s="71"/>
      <c r="G184" s="71"/>
      <c r="H184" s="179"/>
      <c r="I184" s="8"/>
      <c r="J184" s="5"/>
      <c r="K184" s="6">
        <f t="shared" si="26"/>
        <v>0</v>
      </c>
      <c r="L184" s="6"/>
      <c r="M184" s="6">
        <f t="shared" si="27"/>
        <v>0</v>
      </c>
      <c r="N184" s="7"/>
      <c r="O184" s="7"/>
      <c r="P184" s="234">
        <f t="shared" si="28"/>
        <v>30524.170000000013</v>
      </c>
      <c r="Q184" s="93"/>
    </row>
    <row r="185" spans="1:17" ht="14" customHeight="1" x14ac:dyDescent="0.2">
      <c r="A185" s="246"/>
      <c r="B185" s="71"/>
      <c r="C185" s="101"/>
      <c r="D185" s="71"/>
      <c r="E185" s="150"/>
      <c r="F185" s="71"/>
      <c r="G185" s="71"/>
      <c r="H185" s="179"/>
      <c r="I185" s="8"/>
      <c r="J185" s="5"/>
      <c r="K185" s="6">
        <f t="shared" si="26"/>
        <v>0</v>
      </c>
      <c r="L185" s="6"/>
      <c r="M185" s="6">
        <f t="shared" si="27"/>
        <v>0</v>
      </c>
      <c r="N185" s="7"/>
      <c r="O185" s="7"/>
      <c r="P185" s="234">
        <f t="shared" si="28"/>
        <v>30524.170000000013</v>
      </c>
      <c r="Q185" s="93"/>
    </row>
    <row r="186" spans="1:17" ht="14" customHeight="1" x14ac:dyDescent="0.2">
      <c r="A186" s="246"/>
      <c r="B186" s="71"/>
      <c r="C186" s="101"/>
      <c r="D186" s="71"/>
      <c r="E186" s="150"/>
      <c r="F186" s="71"/>
      <c r="G186" s="71"/>
      <c r="H186" s="179"/>
      <c r="I186" s="8"/>
      <c r="J186" s="5"/>
      <c r="K186" s="6">
        <f t="shared" si="26"/>
        <v>0</v>
      </c>
      <c r="L186" s="6"/>
      <c r="M186" s="6">
        <f t="shared" si="27"/>
        <v>0</v>
      </c>
      <c r="N186" s="7"/>
      <c r="O186" s="7"/>
      <c r="P186" s="234">
        <f t="shared" si="28"/>
        <v>30524.170000000013</v>
      </c>
      <c r="Q186" s="93"/>
    </row>
    <row r="187" spans="1:17" ht="14" customHeight="1" x14ac:dyDescent="0.2">
      <c r="A187" s="246"/>
      <c r="B187" s="71"/>
      <c r="C187" s="101"/>
      <c r="D187" s="71"/>
      <c r="E187" s="150"/>
      <c r="F187" s="71"/>
      <c r="G187" s="71"/>
      <c r="H187" s="179"/>
      <c r="I187" s="8"/>
      <c r="J187" s="5"/>
      <c r="K187" s="6">
        <f t="shared" si="24"/>
        <v>0</v>
      </c>
      <c r="L187" s="6"/>
      <c r="M187" s="6">
        <f t="shared" si="25"/>
        <v>0</v>
      </c>
      <c r="N187" s="7"/>
      <c r="O187" s="7"/>
      <c r="P187" s="234">
        <f t="shared" si="28"/>
        <v>30524.170000000013</v>
      </c>
      <c r="Q187" s="93"/>
    </row>
    <row r="188" spans="1:17" ht="14" customHeight="1" x14ac:dyDescent="0.2">
      <c r="A188" s="246"/>
      <c r="B188" s="71"/>
      <c r="C188" s="101"/>
      <c r="D188" s="71"/>
      <c r="E188" s="150"/>
      <c r="F188" s="71"/>
      <c r="G188" s="71"/>
      <c r="H188" s="179"/>
      <c r="I188" s="8"/>
      <c r="J188" s="5"/>
      <c r="K188" s="6">
        <f t="shared" si="24"/>
        <v>0</v>
      </c>
      <c r="L188" s="6"/>
      <c r="M188" s="6">
        <f t="shared" si="25"/>
        <v>0</v>
      </c>
      <c r="N188" s="7"/>
      <c r="O188" s="7"/>
      <c r="P188" s="234">
        <f t="shared" si="28"/>
        <v>30524.170000000013</v>
      </c>
    </row>
    <row r="189" spans="1:17" ht="14" customHeight="1" x14ac:dyDescent="0.2">
      <c r="A189" s="246"/>
      <c r="B189" s="71"/>
      <c r="C189" s="71"/>
      <c r="D189" s="71"/>
      <c r="E189" s="150"/>
      <c r="F189" s="71"/>
      <c r="G189" s="71"/>
      <c r="H189" s="9">
        <f>SUM(H21:H188)</f>
        <v>52009.880000000005</v>
      </c>
      <c r="I189" s="9">
        <f>SUM(I21:I188)</f>
        <v>35439.56</v>
      </c>
      <c r="J189" s="9"/>
      <c r="K189" s="9">
        <f>SUM(K21:K188)</f>
        <v>35439.56</v>
      </c>
      <c r="L189" s="9">
        <f>SUM(L21:L188)</f>
        <v>4044.5099999999998</v>
      </c>
      <c r="M189" s="9">
        <f>SUM(M21:M188)</f>
        <v>31395.05000000001</v>
      </c>
      <c r="N189" s="9"/>
      <c r="O189" s="9"/>
      <c r="P189" s="9"/>
      <c r="Q189" s="88"/>
    </row>
    <row r="190" spans="1:17" x14ac:dyDescent="0.2">
      <c r="A190" s="246"/>
      <c r="B190" s="71"/>
      <c r="C190" s="71"/>
      <c r="D190" s="71"/>
      <c r="E190" s="150"/>
      <c r="F190" s="71"/>
      <c r="G190" s="71"/>
      <c r="H190" s="9"/>
      <c r="I190" s="8"/>
      <c r="J190" s="235"/>
      <c r="K190" s="6"/>
      <c r="L190" s="6"/>
      <c r="M190" s="6"/>
      <c r="N190" s="7"/>
      <c r="O190" s="5"/>
      <c r="P190" s="5"/>
    </row>
    <row r="191" spans="1:17" x14ac:dyDescent="0.2">
      <c r="A191" s="246"/>
      <c r="B191" s="71"/>
      <c r="C191" s="71"/>
      <c r="D191" s="71"/>
      <c r="E191" s="150"/>
      <c r="F191" s="71"/>
      <c r="G191" s="71"/>
      <c r="H191" s="174"/>
      <c r="I191" s="8"/>
      <c r="J191" s="5"/>
      <c r="K191" s="6">
        <f>K189-I189</f>
        <v>0</v>
      </c>
      <c r="L191" s="6"/>
      <c r="M191" s="6"/>
      <c r="N191" s="7"/>
      <c r="O191" s="5"/>
      <c r="P191" s="5"/>
    </row>
    <row r="192" spans="1:17" x14ac:dyDescent="0.2">
      <c r="A192" s="251"/>
    </row>
    <row r="193" spans="1:1" x14ac:dyDescent="0.2">
      <c r="A193" s="246"/>
    </row>
    <row r="194" spans="1:1" x14ac:dyDescent="0.2">
      <c r="A194" s="246"/>
    </row>
    <row r="195" spans="1:1" x14ac:dyDescent="0.2">
      <c r="A195" s="246"/>
    </row>
    <row r="196" spans="1:1" x14ac:dyDescent="0.2">
      <c r="A196" s="246"/>
    </row>
    <row r="197" spans="1:1" x14ac:dyDescent="0.2">
      <c r="A197" s="246"/>
    </row>
    <row r="198" spans="1:1" x14ac:dyDescent="0.2">
      <c r="A198" s="246"/>
    </row>
    <row r="199" spans="1:1" x14ac:dyDescent="0.2">
      <c r="A199" s="246"/>
    </row>
    <row r="200" spans="1:1" x14ac:dyDescent="0.2">
      <c r="A200" s="246"/>
    </row>
    <row r="201" spans="1:1" x14ac:dyDescent="0.2">
      <c r="A201" s="246"/>
    </row>
    <row r="202" spans="1:1" x14ac:dyDescent="0.2">
      <c r="A202" s="246"/>
    </row>
    <row r="203" spans="1:1" x14ac:dyDescent="0.2">
      <c r="A203" s="246"/>
    </row>
    <row r="204" spans="1:1" x14ac:dyDescent="0.2">
      <c r="A204" s="246"/>
    </row>
    <row r="205" spans="1:1" x14ac:dyDescent="0.2">
      <c r="A205" s="246"/>
    </row>
    <row r="206" spans="1:1" x14ac:dyDescent="0.2">
      <c r="A206" s="246"/>
    </row>
  </sheetData>
  <sheetProtection selectLockedCells="1" selectUnlockedCells="1"/>
  <autoFilter ref="A4:R194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985B9-B4AC-C749-AE6A-6A8CA78A7568}">
  <dimension ref="A1:Q214"/>
  <sheetViews>
    <sheetView tabSelected="1" zoomScale="120" zoomScaleNormal="120" workbookViewId="0">
      <pane xSplit="1" ySplit="5" topLeftCell="B171" activePane="bottomRight" state="frozen"/>
      <selection pane="topRight" activeCell="B1" sqref="B1"/>
      <selection pane="bottomLeft" activeCell="A6" sqref="A6"/>
      <selection pane="bottomRight" activeCell="O191" sqref="O191"/>
    </sheetView>
  </sheetViews>
  <sheetFormatPr baseColWidth="10" defaultRowHeight="15" x14ac:dyDescent="0.2"/>
  <cols>
    <col min="1" max="1" width="15" style="268" customWidth="1"/>
    <col min="2" max="2" width="27.6640625" style="76" customWidth="1"/>
    <col min="3" max="3" width="18" style="76" customWidth="1"/>
    <col min="4" max="4" width="10.83203125" style="76" customWidth="1"/>
    <col min="5" max="6" width="10.83203125" style="76" hidden="1" customWidth="1"/>
    <col min="7" max="7" width="10.83203125" style="76"/>
    <col min="8" max="8" width="10.83203125" style="281"/>
    <col min="9" max="9" width="10.83203125" style="282"/>
    <col min="10" max="14" width="14" style="274" customWidth="1"/>
    <col min="15" max="15" width="10.83203125" style="76"/>
    <col min="16" max="16" width="13.5" style="76" customWidth="1"/>
    <col min="17" max="16384" width="10.83203125" style="76"/>
  </cols>
  <sheetData>
    <row r="1" spans="1:17" x14ac:dyDescent="0.2">
      <c r="A1" s="121" t="s">
        <v>123</v>
      </c>
      <c r="B1" s="101"/>
      <c r="C1" s="101"/>
      <c r="D1" s="101" t="s">
        <v>84</v>
      </c>
      <c r="E1" s="101"/>
      <c r="F1" s="101"/>
      <c r="G1" s="264" t="s">
        <v>85</v>
      </c>
      <c r="H1" s="275"/>
      <c r="I1" s="276" t="s">
        <v>86</v>
      </c>
      <c r="J1" s="273"/>
      <c r="K1" s="273"/>
      <c r="L1" s="273"/>
      <c r="M1" s="273"/>
      <c r="N1" s="273"/>
      <c r="O1" s="101"/>
      <c r="P1" s="101"/>
    </row>
    <row r="2" spans="1:17" x14ac:dyDescent="0.2">
      <c r="A2" s="121" t="s">
        <v>123</v>
      </c>
      <c r="B2" s="101"/>
      <c r="C2" s="101"/>
      <c r="D2" s="101"/>
      <c r="E2" s="101"/>
      <c r="F2" s="101"/>
      <c r="G2" s="101"/>
      <c r="H2" s="275"/>
      <c r="I2" s="276"/>
      <c r="J2" s="273"/>
      <c r="K2" s="273"/>
      <c r="L2" s="273"/>
      <c r="M2" s="273"/>
      <c r="N2" s="273"/>
      <c r="O2" s="101"/>
      <c r="P2" s="101"/>
    </row>
    <row r="3" spans="1:17" x14ac:dyDescent="0.2">
      <c r="A3" s="121" t="s">
        <v>123</v>
      </c>
      <c r="B3" s="101"/>
      <c r="C3" s="101"/>
      <c r="D3" s="101"/>
      <c r="E3" s="101"/>
      <c r="F3" s="101"/>
      <c r="G3" s="101"/>
      <c r="H3" s="399" t="s">
        <v>87</v>
      </c>
      <c r="I3" s="400"/>
      <c r="J3" s="401" t="s">
        <v>648</v>
      </c>
      <c r="K3" s="402"/>
      <c r="L3" s="402"/>
      <c r="M3" s="402"/>
      <c r="N3" s="403"/>
      <c r="O3" s="101"/>
      <c r="P3" s="101"/>
    </row>
    <row r="4" spans="1:17" ht="43" customHeight="1" x14ac:dyDescent="0.2">
      <c r="A4" s="262" t="s">
        <v>89</v>
      </c>
      <c r="B4" s="180" t="s">
        <v>109</v>
      </c>
      <c r="C4" s="180" t="s">
        <v>110</v>
      </c>
      <c r="D4" s="180" t="s">
        <v>90</v>
      </c>
      <c r="E4" s="180" t="s">
        <v>113</v>
      </c>
      <c r="F4" s="180" t="s">
        <v>91</v>
      </c>
      <c r="G4" s="180" t="s">
        <v>92</v>
      </c>
      <c r="H4" s="277" t="s">
        <v>93</v>
      </c>
      <c r="I4" s="278" t="s">
        <v>94</v>
      </c>
      <c r="J4" s="270" t="s">
        <v>649</v>
      </c>
      <c r="K4" s="270" t="s">
        <v>650</v>
      </c>
      <c r="L4" s="270" t="s">
        <v>651</v>
      </c>
      <c r="M4" s="271" t="s">
        <v>652</v>
      </c>
      <c r="N4" s="270" t="s">
        <v>653</v>
      </c>
      <c r="O4" s="180" t="s">
        <v>99</v>
      </c>
      <c r="P4" s="180" t="s">
        <v>100</v>
      </c>
      <c r="Q4" s="91"/>
    </row>
    <row r="5" spans="1:17" x14ac:dyDescent="0.2">
      <c r="A5" s="262" t="s">
        <v>421</v>
      </c>
      <c r="B5" s="180" t="s">
        <v>422</v>
      </c>
      <c r="C5" s="101"/>
      <c r="D5" s="101"/>
      <c r="E5" s="101"/>
      <c r="F5" s="101"/>
      <c r="G5" s="101"/>
      <c r="H5" s="275"/>
      <c r="I5" s="276"/>
      <c r="J5" s="101"/>
      <c r="K5" s="101"/>
      <c r="L5" s="101"/>
      <c r="M5" s="101"/>
      <c r="N5" s="101"/>
      <c r="O5" s="101"/>
      <c r="P5" s="101"/>
    </row>
    <row r="6" spans="1:17" x14ac:dyDescent="0.2">
      <c r="A6" s="266">
        <v>45019</v>
      </c>
      <c r="B6" s="101" t="s">
        <v>101</v>
      </c>
      <c r="C6" s="101" t="s">
        <v>385</v>
      </c>
      <c r="D6" s="101" t="s">
        <v>386</v>
      </c>
      <c r="E6" s="101" t="s">
        <v>114</v>
      </c>
      <c r="F6" s="101" t="s">
        <v>378</v>
      </c>
      <c r="G6" s="101" t="s">
        <v>68</v>
      </c>
      <c r="H6" s="275"/>
      <c r="I6" s="276">
        <v>389.37</v>
      </c>
      <c r="J6" s="123" t="s">
        <v>654</v>
      </c>
      <c r="K6" s="101"/>
      <c r="L6" s="101"/>
      <c r="M6" s="101"/>
      <c r="N6" s="101"/>
      <c r="O6" s="101"/>
      <c r="P6" s="101"/>
    </row>
    <row r="7" spans="1:17" x14ac:dyDescent="0.2">
      <c r="A7" s="266">
        <v>45027</v>
      </c>
      <c r="B7" s="101" t="s">
        <v>394</v>
      </c>
      <c r="C7" s="101" t="s">
        <v>395</v>
      </c>
      <c r="D7" s="101" t="s">
        <v>249</v>
      </c>
      <c r="E7" s="101" t="s">
        <v>114</v>
      </c>
      <c r="F7" s="101"/>
      <c r="G7" s="101" t="s">
        <v>54</v>
      </c>
      <c r="H7" s="275"/>
      <c r="I7" s="276">
        <v>50</v>
      </c>
      <c r="J7" s="123" t="s">
        <v>654</v>
      </c>
      <c r="K7" s="101"/>
      <c r="L7" s="101"/>
      <c r="M7" s="101"/>
      <c r="N7" s="101"/>
      <c r="O7" s="101"/>
      <c r="P7" s="101"/>
    </row>
    <row r="8" spans="1:17" x14ac:dyDescent="0.2">
      <c r="A8" s="266">
        <v>45027</v>
      </c>
      <c r="B8" s="101" t="s">
        <v>127</v>
      </c>
      <c r="C8" s="101" t="s">
        <v>398</v>
      </c>
      <c r="D8" s="101"/>
      <c r="E8" s="101" t="s">
        <v>114</v>
      </c>
      <c r="F8" s="101"/>
      <c r="G8" s="101" t="s">
        <v>9</v>
      </c>
      <c r="H8" s="275">
        <v>1317.96</v>
      </c>
      <c r="I8" s="276"/>
      <c r="J8" s="272" t="s">
        <v>654</v>
      </c>
      <c r="K8" s="269"/>
      <c r="L8" s="269"/>
      <c r="M8" s="269"/>
      <c r="N8" s="269"/>
      <c r="O8" s="101"/>
      <c r="P8" s="101"/>
    </row>
    <row r="9" spans="1:17" x14ac:dyDescent="0.2">
      <c r="A9" s="266">
        <v>45031</v>
      </c>
      <c r="B9" s="101" t="s">
        <v>389</v>
      </c>
      <c r="C9" s="101" t="s">
        <v>390</v>
      </c>
      <c r="D9" s="101"/>
      <c r="E9" s="101"/>
      <c r="F9" s="101"/>
      <c r="G9" s="101" t="s">
        <v>13</v>
      </c>
      <c r="H9" s="275"/>
      <c r="I9" s="276">
        <v>61.46</v>
      </c>
      <c r="J9" s="123" t="s">
        <v>654</v>
      </c>
      <c r="K9" s="101"/>
      <c r="L9" s="101"/>
      <c r="M9" s="101"/>
      <c r="N9" s="101"/>
      <c r="O9" s="101"/>
      <c r="P9" s="101"/>
    </row>
    <row r="10" spans="1:17" x14ac:dyDescent="0.2">
      <c r="A10" s="266">
        <v>45031</v>
      </c>
      <c r="B10" s="101" t="s">
        <v>393</v>
      </c>
      <c r="C10" s="101" t="s">
        <v>390</v>
      </c>
      <c r="D10" s="101"/>
      <c r="E10" s="101"/>
      <c r="F10" s="101"/>
      <c r="G10" s="101" t="s">
        <v>13</v>
      </c>
      <c r="H10" s="275"/>
      <c r="I10" s="276">
        <v>245.98</v>
      </c>
      <c r="J10" s="123" t="s">
        <v>654</v>
      </c>
      <c r="K10" s="101"/>
      <c r="L10" s="101"/>
      <c r="M10" s="101"/>
      <c r="N10" s="101"/>
      <c r="O10" s="101"/>
      <c r="P10" s="101"/>
    </row>
    <row r="11" spans="1:17" x14ac:dyDescent="0.2">
      <c r="A11" s="266">
        <v>45031</v>
      </c>
      <c r="B11" s="101" t="s">
        <v>393</v>
      </c>
      <c r="C11" s="101" t="s">
        <v>391</v>
      </c>
      <c r="D11" s="101"/>
      <c r="E11" s="101"/>
      <c r="F11" s="101"/>
      <c r="G11" s="101" t="s">
        <v>19</v>
      </c>
      <c r="H11" s="275"/>
      <c r="I11" s="276">
        <v>1.1299999999999999</v>
      </c>
      <c r="J11" s="123" t="s">
        <v>654</v>
      </c>
      <c r="K11" s="101"/>
      <c r="L11" s="101"/>
      <c r="M11" s="101"/>
      <c r="N11" s="101"/>
      <c r="O11" s="101"/>
      <c r="P11" s="101"/>
    </row>
    <row r="12" spans="1:17" x14ac:dyDescent="0.2">
      <c r="A12" s="266">
        <v>45031</v>
      </c>
      <c r="B12" s="101" t="s">
        <v>389</v>
      </c>
      <c r="C12" s="101" t="s">
        <v>392</v>
      </c>
      <c r="D12" s="101"/>
      <c r="E12" s="101"/>
      <c r="F12" s="101"/>
      <c r="G12" s="101" t="s">
        <v>17</v>
      </c>
      <c r="H12" s="275"/>
      <c r="I12" s="276">
        <v>26.34</v>
      </c>
      <c r="J12" s="123" t="s">
        <v>654</v>
      </c>
      <c r="K12" s="101"/>
      <c r="L12" s="101"/>
      <c r="M12" s="101"/>
      <c r="N12" s="101"/>
      <c r="O12" s="101"/>
      <c r="P12" s="101"/>
    </row>
    <row r="13" spans="1:17" x14ac:dyDescent="0.2">
      <c r="A13" s="266">
        <v>45031</v>
      </c>
      <c r="B13" s="101" t="s">
        <v>393</v>
      </c>
      <c r="C13" s="101" t="s">
        <v>392</v>
      </c>
      <c r="D13" s="101"/>
      <c r="E13" s="101"/>
      <c r="F13" s="101"/>
      <c r="G13" s="101" t="s">
        <v>17</v>
      </c>
      <c r="H13" s="275"/>
      <c r="I13" s="276">
        <v>105.42</v>
      </c>
      <c r="J13" s="123" t="s">
        <v>654</v>
      </c>
      <c r="K13" s="101"/>
      <c r="L13" s="101"/>
      <c r="M13" s="101"/>
      <c r="N13" s="101"/>
      <c r="O13" s="101"/>
      <c r="P13" s="101"/>
    </row>
    <row r="14" spans="1:17" x14ac:dyDescent="0.2">
      <c r="A14" s="266">
        <v>45033</v>
      </c>
      <c r="B14" s="101" t="s">
        <v>241</v>
      </c>
      <c r="C14" s="101" t="s">
        <v>407</v>
      </c>
      <c r="D14" s="101" t="s">
        <v>259</v>
      </c>
      <c r="E14" s="101" t="s">
        <v>114</v>
      </c>
      <c r="F14" s="101"/>
      <c r="G14" s="101" t="s">
        <v>157</v>
      </c>
      <c r="H14" s="275"/>
      <c r="I14" s="276">
        <v>23.96</v>
      </c>
      <c r="J14" s="123" t="s">
        <v>654</v>
      </c>
      <c r="K14" s="101"/>
      <c r="L14" s="101"/>
      <c r="M14" s="101"/>
      <c r="N14" s="101"/>
      <c r="O14" s="101"/>
      <c r="P14" s="101"/>
    </row>
    <row r="15" spans="1:17" x14ac:dyDescent="0.2">
      <c r="A15" s="266">
        <v>45033</v>
      </c>
      <c r="B15" s="101" t="s">
        <v>241</v>
      </c>
      <c r="C15" s="101" t="s">
        <v>406</v>
      </c>
      <c r="D15" s="101" t="s">
        <v>249</v>
      </c>
      <c r="E15" s="101" t="s">
        <v>114</v>
      </c>
      <c r="F15" s="101"/>
      <c r="G15" s="101" t="s">
        <v>157</v>
      </c>
      <c r="H15" s="275"/>
      <c r="I15" s="276">
        <v>10.8</v>
      </c>
      <c r="J15" s="123" t="s">
        <v>654</v>
      </c>
      <c r="K15" s="101"/>
      <c r="L15" s="101"/>
      <c r="M15" s="101"/>
      <c r="N15" s="101"/>
      <c r="O15" s="101"/>
      <c r="P15" s="101"/>
    </row>
    <row r="16" spans="1:17" x14ac:dyDescent="0.2">
      <c r="A16" s="266">
        <v>45033</v>
      </c>
      <c r="B16" s="101" t="s">
        <v>103</v>
      </c>
      <c r="C16" s="101" t="s">
        <v>408</v>
      </c>
      <c r="D16" s="101" t="s">
        <v>409</v>
      </c>
      <c r="E16" s="101" t="s">
        <v>114</v>
      </c>
      <c r="F16" s="101" t="s">
        <v>601</v>
      </c>
      <c r="G16" s="101" t="s">
        <v>157</v>
      </c>
      <c r="H16" s="275"/>
      <c r="I16" s="276">
        <v>704.95</v>
      </c>
      <c r="J16" s="123" t="s">
        <v>654</v>
      </c>
      <c r="K16" s="101"/>
      <c r="L16" s="101"/>
      <c r="M16" s="101"/>
      <c r="N16" s="101"/>
      <c r="O16" s="101"/>
      <c r="P16" s="101"/>
    </row>
    <row r="17" spans="1:16" x14ac:dyDescent="0.2">
      <c r="A17" s="266">
        <v>45033</v>
      </c>
      <c r="B17" s="101" t="s">
        <v>306</v>
      </c>
      <c r="C17" s="101" t="s">
        <v>410</v>
      </c>
      <c r="D17" s="101" t="s">
        <v>411</v>
      </c>
      <c r="E17" s="101" t="s">
        <v>114</v>
      </c>
      <c r="F17" s="101"/>
      <c r="G17" s="101" t="s">
        <v>46</v>
      </c>
      <c r="H17" s="275"/>
      <c r="I17" s="276">
        <v>692.5</v>
      </c>
      <c r="J17" s="123" t="s">
        <v>654</v>
      </c>
      <c r="K17" s="101"/>
      <c r="L17" s="101"/>
      <c r="M17" s="101"/>
      <c r="N17" s="101"/>
      <c r="O17" s="101"/>
      <c r="P17" s="101"/>
    </row>
    <row r="18" spans="1:16" x14ac:dyDescent="0.2">
      <c r="A18" s="266">
        <v>45033</v>
      </c>
      <c r="B18" s="101" t="s">
        <v>405</v>
      </c>
      <c r="C18" s="101" t="s">
        <v>412</v>
      </c>
      <c r="D18" s="101">
        <v>213208</v>
      </c>
      <c r="E18" s="101" t="s">
        <v>114</v>
      </c>
      <c r="F18" s="101" t="s">
        <v>601</v>
      </c>
      <c r="G18" s="101" t="s">
        <v>157</v>
      </c>
      <c r="H18" s="275"/>
      <c r="I18" s="276">
        <v>720</v>
      </c>
      <c r="J18" s="123" t="s">
        <v>654</v>
      </c>
      <c r="K18" s="101"/>
      <c r="L18" s="101"/>
      <c r="M18" s="101"/>
      <c r="N18" s="101"/>
      <c r="O18" s="101"/>
      <c r="P18" s="101"/>
    </row>
    <row r="19" spans="1:16" x14ac:dyDescent="0.2">
      <c r="A19" s="266">
        <v>45034</v>
      </c>
      <c r="B19" s="101" t="s">
        <v>405</v>
      </c>
      <c r="C19" s="101" t="s">
        <v>415</v>
      </c>
      <c r="D19" s="101">
        <v>213213</v>
      </c>
      <c r="E19" s="101" t="s">
        <v>114</v>
      </c>
      <c r="F19" s="101" t="s">
        <v>601</v>
      </c>
      <c r="G19" s="101" t="s">
        <v>157</v>
      </c>
      <c r="H19" s="275"/>
      <c r="I19" s="276">
        <v>94.92</v>
      </c>
      <c r="J19" s="123" t="s">
        <v>654</v>
      </c>
      <c r="K19" s="101"/>
      <c r="L19" s="101"/>
      <c r="M19" s="101"/>
      <c r="N19" s="101"/>
      <c r="O19" s="101"/>
      <c r="P19" s="101"/>
    </row>
    <row r="20" spans="1:16" x14ac:dyDescent="0.2">
      <c r="A20" s="267"/>
      <c r="B20" s="181"/>
      <c r="C20" s="181"/>
      <c r="D20" s="181"/>
      <c r="E20" s="181"/>
      <c r="F20" s="181"/>
      <c r="G20" s="181" t="s">
        <v>123</v>
      </c>
      <c r="H20" s="279"/>
      <c r="I20" s="280"/>
      <c r="J20" s="181"/>
      <c r="K20" s="181"/>
      <c r="L20" s="181"/>
      <c r="M20" s="181"/>
      <c r="N20" s="181"/>
      <c r="O20" s="181"/>
      <c r="P20" s="181"/>
    </row>
    <row r="21" spans="1:16" x14ac:dyDescent="0.2">
      <c r="A21" s="265">
        <v>45027</v>
      </c>
      <c r="B21" s="101" t="s">
        <v>396</v>
      </c>
      <c r="C21" s="101" t="s">
        <v>397</v>
      </c>
      <c r="D21" s="101" t="s">
        <v>249</v>
      </c>
      <c r="E21" s="101" t="s">
        <v>114</v>
      </c>
      <c r="F21" s="101"/>
      <c r="G21" s="101" t="s">
        <v>41</v>
      </c>
      <c r="H21" s="275"/>
      <c r="I21" s="276">
        <v>12.6</v>
      </c>
      <c r="J21" s="101"/>
      <c r="K21" s="101"/>
      <c r="L21" s="101"/>
      <c r="M21" s="269">
        <f>I21</f>
        <v>12.6</v>
      </c>
      <c r="N21" s="101"/>
      <c r="O21" s="101"/>
      <c r="P21" s="101"/>
    </row>
    <row r="22" spans="1:16" x14ac:dyDescent="0.2">
      <c r="A22" s="265">
        <v>45033</v>
      </c>
      <c r="B22" s="101" t="s">
        <v>104</v>
      </c>
      <c r="C22" s="101" t="s">
        <v>413</v>
      </c>
      <c r="D22" s="101" t="s">
        <v>414</v>
      </c>
      <c r="E22" s="101" t="s">
        <v>114</v>
      </c>
      <c r="F22" s="101"/>
      <c r="G22" s="101" t="s">
        <v>50</v>
      </c>
      <c r="H22" s="275"/>
      <c r="I22" s="276">
        <v>59.05</v>
      </c>
      <c r="J22" s="101"/>
      <c r="K22" s="101"/>
      <c r="L22" s="101"/>
      <c r="M22" s="269">
        <f>I22</f>
        <v>59.05</v>
      </c>
      <c r="N22" s="101"/>
      <c r="O22" s="101"/>
      <c r="P22" s="101"/>
    </row>
    <row r="23" spans="1:16" x14ac:dyDescent="0.2">
      <c r="A23" s="265">
        <v>45037</v>
      </c>
      <c r="B23" s="101" t="s">
        <v>127</v>
      </c>
      <c r="C23" s="101" t="s">
        <v>416</v>
      </c>
      <c r="D23" s="101" t="s">
        <v>249</v>
      </c>
      <c r="E23" s="101" t="s">
        <v>114</v>
      </c>
      <c r="F23" s="101"/>
      <c r="G23" s="101" t="s">
        <v>4</v>
      </c>
      <c r="H23" s="275">
        <v>12500</v>
      </c>
      <c r="I23" s="276"/>
      <c r="J23" s="273">
        <f>H23</f>
        <v>12500</v>
      </c>
      <c r="K23" s="273"/>
      <c r="L23" s="273"/>
      <c r="M23" s="273"/>
      <c r="N23" s="273"/>
      <c r="O23" s="101"/>
      <c r="P23" s="101"/>
    </row>
    <row r="24" spans="1:16" x14ac:dyDescent="0.2">
      <c r="A24" s="265">
        <v>45055</v>
      </c>
      <c r="B24" s="101" t="s">
        <v>127</v>
      </c>
      <c r="C24" s="101" t="s">
        <v>418</v>
      </c>
      <c r="D24" s="101" t="s">
        <v>249</v>
      </c>
      <c r="E24" s="101" t="s">
        <v>114</v>
      </c>
      <c r="F24" s="101"/>
      <c r="G24" s="101" t="s">
        <v>9</v>
      </c>
      <c r="H24" s="275">
        <v>61</v>
      </c>
      <c r="I24" s="276"/>
      <c r="J24" s="273"/>
      <c r="K24" s="273">
        <f>H24</f>
        <v>61</v>
      </c>
      <c r="L24" s="273"/>
      <c r="M24" s="273"/>
      <c r="N24" s="273"/>
      <c r="O24" s="101"/>
      <c r="P24" s="101"/>
    </row>
    <row r="25" spans="1:16" x14ac:dyDescent="0.2">
      <c r="A25" s="265">
        <v>45055</v>
      </c>
      <c r="B25" s="101" t="s">
        <v>127</v>
      </c>
      <c r="C25" s="101" t="s">
        <v>417</v>
      </c>
      <c r="D25" s="101" t="s">
        <v>249</v>
      </c>
      <c r="E25" s="101" t="s">
        <v>114</v>
      </c>
      <c r="F25" s="101"/>
      <c r="G25" s="101" t="s">
        <v>9</v>
      </c>
      <c r="H25" s="275">
        <v>182.4</v>
      </c>
      <c r="I25" s="276"/>
      <c r="J25" s="273"/>
      <c r="K25" s="273">
        <f t="shared" ref="K25:K26" si="0">H25</f>
        <v>182.4</v>
      </c>
      <c r="L25" s="273"/>
      <c r="M25" s="273"/>
      <c r="N25" s="273"/>
      <c r="O25" s="101"/>
      <c r="P25" s="101"/>
    </row>
    <row r="26" spans="1:16" x14ac:dyDescent="0.2">
      <c r="A26" s="265">
        <v>45056</v>
      </c>
      <c r="B26" s="101" t="s">
        <v>127</v>
      </c>
      <c r="C26" s="101" t="s">
        <v>419</v>
      </c>
      <c r="D26" s="101" t="s">
        <v>249</v>
      </c>
      <c r="E26" s="101" t="s">
        <v>114</v>
      </c>
      <c r="F26" s="101"/>
      <c r="G26" s="101" t="s">
        <v>9</v>
      </c>
      <c r="H26" s="275">
        <v>500</v>
      </c>
      <c r="I26" s="276"/>
      <c r="J26" s="273"/>
      <c r="K26" s="273">
        <f t="shared" si="0"/>
        <v>500</v>
      </c>
      <c r="L26" s="273"/>
      <c r="M26" s="273"/>
      <c r="N26" s="273"/>
      <c r="O26" s="101"/>
      <c r="P26" s="101"/>
    </row>
    <row r="27" spans="1:16" x14ac:dyDescent="0.2">
      <c r="A27" s="265">
        <v>45061</v>
      </c>
      <c r="B27" s="101" t="s">
        <v>432</v>
      </c>
      <c r="C27" s="101" t="s">
        <v>434</v>
      </c>
      <c r="D27" s="101"/>
      <c r="E27" s="101"/>
      <c r="F27" s="101"/>
      <c r="G27" s="101" t="s">
        <v>13</v>
      </c>
      <c r="H27" s="275"/>
      <c r="I27" s="276">
        <v>62.02</v>
      </c>
      <c r="J27" s="101"/>
      <c r="K27" s="101"/>
      <c r="L27" s="269">
        <f>I27</f>
        <v>62.02</v>
      </c>
      <c r="M27" s="101"/>
      <c r="N27" s="101"/>
      <c r="O27" s="101"/>
      <c r="P27" s="101"/>
    </row>
    <row r="28" spans="1:16" x14ac:dyDescent="0.2">
      <c r="A28" s="265">
        <v>45061</v>
      </c>
      <c r="B28" s="101" t="s">
        <v>433</v>
      </c>
      <c r="C28" s="101" t="s">
        <v>434</v>
      </c>
      <c r="D28" s="101"/>
      <c r="E28" s="101"/>
      <c r="F28" s="101"/>
      <c r="G28" s="101" t="s">
        <v>13</v>
      </c>
      <c r="H28" s="275"/>
      <c r="I28" s="276">
        <v>248.5</v>
      </c>
      <c r="J28" s="101"/>
      <c r="K28" s="101"/>
      <c r="L28" s="269">
        <f>I28</f>
        <v>248.5</v>
      </c>
      <c r="M28" s="101"/>
      <c r="N28" s="101"/>
      <c r="O28" s="101"/>
      <c r="P28" s="101"/>
    </row>
    <row r="29" spans="1:16" x14ac:dyDescent="0.2">
      <c r="A29" s="265">
        <v>45061</v>
      </c>
      <c r="B29" s="101" t="s">
        <v>433</v>
      </c>
      <c r="C29" s="101" t="s">
        <v>435</v>
      </c>
      <c r="D29" s="101"/>
      <c r="E29" s="101"/>
      <c r="F29" s="101"/>
      <c r="G29" s="101" t="s">
        <v>19</v>
      </c>
      <c r="H29" s="275"/>
      <c r="I29" s="276">
        <v>0</v>
      </c>
      <c r="J29" s="101"/>
      <c r="K29" s="101"/>
      <c r="L29" s="101"/>
      <c r="M29" s="269">
        <f>I29</f>
        <v>0</v>
      </c>
      <c r="N29" s="101"/>
      <c r="O29" s="101"/>
      <c r="P29" s="101"/>
    </row>
    <row r="30" spans="1:16" x14ac:dyDescent="0.2">
      <c r="A30" s="265">
        <v>45061</v>
      </c>
      <c r="B30" s="101" t="s">
        <v>432</v>
      </c>
      <c r="C30" s="101" t="s">
        <v>436</v>
      </c>
      <c r="D30" s="101"/>
      <c r="E30" s="101"/>
      <c r="F30" s="101"/>
      <c r="G30" s="101" t="s">
        <v>17</v>
      </c>
      <c r="H30" s="275"/>
      <c r="I30" s="276">
        <v>26.58</v>
      </c>
      <c r="J30" s="101"/>
      <c r="K30" s="101"/>
      <c r="L30" s="269">
        <f t="shared" ref="L30:L31" si="1">I30</f>
        <v>26.58</v>
      </c>
      <c r="M30" s="101"/>
      <c r="N30" s="101"/>
      <c r="O30" s="101"/>
      <c r="P30" s="101"/>
    </row>
    <row r="31" spans="1:16" x14ac:dyDescent="0.2">
      <c r="A31" s="265">
        <v>45061</v>
      </c>
      <c r="B31" s="101" t="s">
        <v>433</v>
      </c>
      <c r="C31" s="101" t="s">
        <v>436</v>
      </c>
      <c r="D31" s="101"/>
      <c r="E31" s="101"/>
      <c r="F31" s="101"/>
      <c r="G31" s="101" t="s">
        <v>17</v>
      </c>
      <c r="H31" s="275"/>
      <c r="I31" s="276">
        <v>106.5</v>
      </c>
      <c r="J31" s="101"/>
      <c r="K31" s="101"/>
      <c r="L31" s="269">
        <f t="shared" si="1"/>
        <v>106.5</v>
      </c>
      <c r="M31" s="101"/>
      <c r="N31" s="101"/>
      <c r="O31" s="101"/>
      <c r="P31" s="101"/>
    </row>
    <row r="32" spans="1:16" x14ac:dyDescent="0.2">
      <c r="A32" s="265">
        <v>45061</v>
      </c>
      <c r="B32" s="101" t="s">
        <v>121</v>
      </c>
      <c r="C32" s="101" t="s">
        <v>437</v>
      </c>
      <c r="D32" s="101">
        <v>51033</v>
      </c>
      <c r="E32" s="101" t="s">
        <v>114</v>
      </c>
      <c r="F32" s="101" t="s">
        <v>601</v>
      </c>
      <c r="G32" s="101" t="s">
        <v>172</v>
      </c>
      <c r="H32" s="275"/>
      <c r="I32" s="276">
        <v>96</v>
      </c>
      <c r="J32" s="101"/>
      <c r="K32" s="101"/>
      <c r="L32" s="101"/>
      <c r="M32" s="269">
        <f t="shared" ref="M32:M43" si="2">I32</f>
        <v>96</v>
      </c>
      <c r="N32" s="101"/>
      <c r="O32" s="101"/>
      <c r="P32" s="101"/>
    </row>
    <row r="33" spans="1:16" x14ac:dyDescent="0.2">
      <c r="A33" s="265">
        <v>45061</v>
      </c>
      <c r="B33" s="101" t="s">
        <v>121</v>
      </c>
      <c r="C33" s="101" t="s">
        <v>166</v>
      </c>
      <c r="D33" s="101">
        <v>21093</v>
      </c>
      <c r="E33" s="101" t="s">
        <v>114</v>
      </c>
      <c r="F33" s="101" t="s">
        <v>601</v>
      </c>
      <c r="G33" s="101" t="s">
        <v>25</v>
      </c>
      <c r="H33" s="275"/>
      <c r="I33" s="276">
        <v>252</v>
      </c>
      <c r="J33" s="101"/>
      <c r="K33" s="101"/>
      <c r="L33" s="101"/>
      <c r="M33" s="269">
        <f t="shared" si="2"/>
        <v>252</v>
      </c>
      <c r="N33" s="101"/>
      <c r="O33" s="101"/>
      <c r="P33" s="101"/>
    </row>
    <row r="34" spans="1:16" x14ac:dyDescent="0.2">
      <c r="A34" s="265">
        <v>45061</v>
      </c>
      <c r="B34" s="101" t="s">
        <v>103</v>
      </c>
      <c r="C34" s="101" t="s">
        <v>438</v>
      </c>
      <c r="D34" s="101" t="s">
        <v>439</v>
      </c>
      <c r="E34" s="101"/>
      <c r="F34" s="101"/>
      <c r="G34" s="101" t="s">
        <v>34</v>
      </c>
      <c r="H34" s="275"/>
      <c r="I34" s="276">
        <v>112</v>
      </c>
      <c r="J34" s="101"/>
      <c r="K34" s="101"/>
      <c r="L34" s="101"/>
      <c r="M34" s="269">
        <f t="shared" si="2"/>
        <v>112</v>
      </c>
      <c r="N34" s="101"/>
      <c r="O34" s="101"/>
      <c r="P34" s="101"/>
    </row>
    <row r="35" spans="1:16" x14ac:dyDescent="0.2">
      <c r="A35" s="265">
        <v>45061</v>
      </c>
      <c r="B35" s="101" t="s">
        <v>440</v>
      </c>
      <c r="C35" s="101" t="s">
        <v>441</v>
      </c>
      <c r="D35" s="101">
        <v>26025982</v>
      </c>
      <c r="E35" s="101" t="s">
        <v>114</v>
      </c>
      <c r="F35" s="101" t="s">
        <v>601</v>
      </c>
      <c r="G35" s="101" t="s">
        <v>19</v>
      </c>
      <c r="H35" s="275"/>
      <c r="I35" s="276">
        <v>45</v>
      </c>
      <c r="J35" s="101"/>
      <c r="K35" s="101"/>
      <c r="L35" s="101"/>
      <c r="M35" s="269">
        <f t="shared" si="2"/>
        <v>45</v>
      </c>
      <c r="N35" s="101"/>
      <c r="O35" s="101"/>
      <c r="P35" s="101"/>
    </row>
    <row r="36" spans="1:16" x14ac:dyDescent="0.2">
      <c r="A36" s="265">
        <v>45061</v>
      </c>
      <c r="B36" s="101" t="s">
        <v>103</v>
      </c>
      <c r="C36" s="101" t="s">
        <v>442</v>
      </c>
      <c r="D36" s="101" t="s">
        <v>259</v>
      </c>
      <c r="E36" s="101" t="s">
        <v>114</v>
      </c>
      <c r="F36" s="101"/>
      <c r="G36" s="101" t="s">
        <v>165</v>
      </c>
      <c r="H36" s="275"/>
      <c r="I36" s="276">
        <v>15</v>
      </c>
      <c r="J36" s="101"/>
      <c r="K36" s="101"/>
      <c r="L36" s="101"/>
      <c r="M36" s="269">
        <f t="shared" si="2"/>
        <v>15</v>
      </c>
      <c r="N36" s="101"/>
      <c r="O36" s="101"/>
      <c r="P36" s="101"/>
    </row>
    <row r="37" spans="1:16" x14ac:dyDescent="0.2">
      <c r="A37" s="265">
        <v>45061</v>
      </c>
      <c r="B37" s="101" t="s">
        <v>443</v>
      </c>
      <c r="C37" s="101" t="s">
        <v>444</v>
      </c>
      <c r="D37" s="101">
        <v>15194</v>
      </c>
      <c r="E37" s="101" t="s">
        <v>114</v>
      </c>
      <c r="F37" s="101" t="s">
        <v>601</v>
      </c>
      <c r="G37" s="101" t="s">
        <v>57</v>
      </c>
      <c r="H37" s="275"/>
      <c r="I37" s="276">
        <v>907.2</v>
      </c>
      <c r="J37" s="101"/>
      <c r="K37" s="101"/>
      <c r="L37" s="101"/>
      <c r="M37" s="269">
        <f t="shared" si="2"/>
        <v>907.2</v>
      </c>
      <c r="N37" s="101"/>
      <c r="O37" s="101"/>
      <c r="P37" s="101"/>
    </row>
    <row r="38" spans="1:16" x14ac:dyDescent="0.2">
      <c r="A38" s="265">
        <v>45065</v>
      </c>
      <c r="B38" s="101" t="s">
        <v>296</v>
      </c>
      <c r="C38" s="101" t="s">
        <v>445</v>
      </c>
      <c r="D38" s="101">
        <v>151216</v>
      </c>
      <c r="E38" s="101" t="s">
        <v>114</v>
      </c>
      <c r="F38" s="101" t="s">
        <v>601</v>
      </c>
      <c r="G38" s="101" t="s">
        <v>69</v>
      </c>
      <c r="H38" s="275"/>
      <c r="I38" s="276">
        <v>103.38</v>
      </c>
      <c r="J38" s="101"/>
      <c r="K38" s="101"/>
      <c r="L38" s="101"/>
      <c r="M38" s="269">
        <f t="shared" si="2"/>
        <v>103.38</v>
      </c>
      <c r="N38" s="101"/>
      <c r="O38" s="101"/>
      <c r="P38" s="101"/>
    </row>
    <row r="39" spans="1:16" x14ac:dyDescent="0.2">
      <c r="A39" s="265">
        <v>45068</v>
      </c>
      <c r="B39" s="101" t="s">
        <v>103</v>
      </c>
      <c r="C39" s="101" t="s">
        <v>447</v>
      </c>
      <c r="D39" s="101">
        <v>1267564</v>
      </c>
      <c r="E39" s="101" t="s">
        <v>114</v>
      </c>
      <c r="F39" s="101" t="s">
        <v>601</v>
      </c>
      <c r="G39" s="101" t="s">
        <v>69</v>
      </c>
      <c r="H39" s="275"/>
      <c r="I39" s="276">
        <v>143.88</v>
      </c>
      <c r="J39" s="101"/>
      <c r="K39" s="101"/>
      <c r="L39" s="101"/>
      <c r="M39" s="269">
        <f t="shared" si="2"/>
        <v>143.88</v>
      </c>
      <c r="N39" s="101"/>
      <c r="O39" s="101"/>
      <c r="P39" s="101"/>
    </row>
    <row r="40" spans="1:16" x14ac:dyDescent="0.2">
      <c r="A40" s="265">
        <v>45082</v>
      </c>
      <c r="B40" s="101" t="s">
        <v>103</v>
      </c>
      <c r="C40" s="101" t="s">
        <v>448</v>
      </c>
      <c r="D40" s="101" t="s">
        <v>259</v>
      </c>
      <c r="E40" s="101" t="s">
        <v>114</v>
      </c>
      <c r="F40" s="101"/>
      <c r="G40" s="101" t="s">
        <v>41</v>
      </c>
      <c r="H40" s="275"/>
      <c r="I40" s="276">
        <v>3.75</v>
      </c>
      <c r="J40" s="101"/>
      <c r="K40" s="101"/>
      <c r="L40" s="101"/>
      <c r="M40" s="269">
        <f t="shared" si="2"/>
        <v>3.75</v>
      </c>
      <c r="N40" s="101"/>
      <c r="O40" s="101"/>
      <c r="P40" s="101"/>
    </row>
    <row r="41" spans="1:16" x14ac:dyDescent="0.2">
      <c r="A41" s="265">
        <v>45082</v>
      </c>
      <c r="B41" s="101" t="s">
        <v>449</v>
      </c>
      <c r="C41" s="101" t="s">
        <v>450</v>
      </c>
      <c r="D41" s="101" t="s">
        <v>259</v>
      </c>
      <c r="E41" s="101" t="s">
        <v>114</v>
      </c>
      <c r="F41" s="101" t="s">
        <v>601</v>
      </c>
      <c r="G41" s="101" t="s">
        <v>19</v>
      </c>
      <c r="H41" s="275"/>
      <c r="I41" s="276">
        <v>64.900000000000006</v>
      </c>
      <c r="J41" s="101"/>
      <c r="K41" s="101"/>
      <c r="L41" s="101"/>
      <c r="M41" s="269">
        <f t="shared" si="2"/>
        <v>64.900000000000006</v>
      </c>
      <c r="N41" s="101"/>
      <c r="O41" s="101"/>
      <c r="P41" s="101"/>
    </row>
    <row r="42" spans="1:16" x14ac:dyDescent="0.2">
      <c r="A42" s="265">
        <v>45085</v>
      </c>
      <c r="B42" s="101" t="s">
        <v>265</v>
      </c>
      <c r="C42" s="101" t="s">
        <v>452</v>
      </c>
      <c r="D42" s="101" t="s">
        <v>259</v>
      </c>
      <c r="E42" s="101" t="s">
        <v>114</v>
      </c>
      <c r="F42" s="101"/>
      <c r="G42" s="101" t="s">
        <v>19</v>
      </c>
      <c r="H42" s="275"/>
      <c r="I42" s="276">
        <v>6.63</v>
      </c>
      <c r="J42" s="101"/>
      <c r="K42" s="101"/>
      <c r="L42" s="101"/>
      <c r="M42" s="269">
        <f t="shared" si="2"/>
        <v>6.63</v>
      </c>
      <c r="N42" s="101"/>
      <c r="O42" s="101"/>
      <c r="P42" s="101"/>
    </row>
    <row r="43" spans="1:16" x14ac:dyDescent="0.2">
      <c r="A43" s="265">
        <v>45090</v>
      </c>
      <c r="B43" s="101" t="s">
        <v>443</v>
      </c>
      <c r="C43" s="101" t="s">
        <v>453</v>
      </c>
      <c r="D43" s="101">
        <v>15259</v>
      </c>
      <c r="E43" s="101" t="s">
        <v>114</v>
      </c>
      <c r="F43" s="101" t="s">
        <v>601</v>
      </c>
      <c r="G43" s="101" t="s">
        <v>57</v>
      </c>
      <c r="H43" s="275"/>
      <c r="I43" s="276">
        <v>907.2</v>
      </c>
      <c r="J43" s="101"/>
      <c r="K43" s="101"/>
      <c r="L43" s="101"/>
      <c r="M43" s="269">
        <f t="shared" si="2"/>
        <v>907.2</v>
      </c>
      <c r="N43" s="101"/>
      <c r="O43" s="101"/>
      <c r="P43" s="101"/>
    </row>
    <row r="44" spans="1:16" x14ac:dyDescent="0.2">
      <c r="A44" s="265">
        <v>45092</v>
      </c>
      <c r="B44" s="101" t="s">
        <v>454</v>
      </c>
      <c r="C44" s="101" t="s">
        <v>456</v>
      </c>
      <c r="D44" s="101"/>
      <c r="E44" s="101"/>
      <c r="F44" s="101"/>
      <c r="G44" s="101" t="s">
        <v>13</v>
      </c>
      <c r="H44" s="275"/>
      <c r="I44" s="276">
        <v>62.16</v>
      </c>
      <c r="J44" s="101"/>
      <c r="K44" s="101"/>
      <c r="L44" s="269">
        <f t="shared" ref="L44:L45" si="3">I44</f>
        <v>62.16</v>
      </c>
      <c r="M44" s="101"/>
      <c r="N44" s="101"/>
      <c r="O44" s="101"/>
      <c r="P44" s="101"/>
    </row>
    <row r="45" spans="1:16" x14ac:dyDescent="0.2">
      <c r="A45" s="265">
        <v>45092</v>
      </c>
      <c r="B45" s="101" t="s">
        <v>455</v>
      </c>
      <c r="C45" s="101" t="s">
        <v>456</v>
      </c>
      <c r="D45" s="101"/>
      <c r="E45" s="101"/>
      <c r="F45" s="101"/>
      <c r="G45" s="101" t="s">
        <v>13</v>
      </c>
      <c r="H45" s="275"/>
      <c r="I45" s="276">
        <v>248.36</v>
      </c>
      <c r="J45" s="101"/>
      <c r="K45" s="101"/>
      <c r="L45" s="269">
        <f t="shared" si="3"/>
        <v>248.36</v>
      </c>
      <c r="M45" s="101"/>
      <c r="N45" s="101"/>
      <c r="O45" s="101"/>
      <c r="P45" s="101"/>
    </row>
    <row r="46" spans="1:16" x14ac:dyDescent="0.2">
      <c r="A46" s="265">
        <v>45092</v>
      </c>
      <c r="B46" s="101" t="s">
        <v>455</v>
      </c>
      <c r="C46" s="101" t="s">
        <v>457</v>
      </c>
      <c r="D46" s="101"/>
      <c r="E46" s="101"/>
      <c r="F46" s="101"/>
      <c r="G46" s="101" t="s">
        <v>19</v>
      </c>
      <c r="H46" s="275"/>
      <c r="I46" s="276">
        <v>2.25</v>
      </c>
      <c r="J46" s="101"/>
      <c r="K46" s="101"/>
      <c r="L46" s="101"/>
      <c r="M46" s="269">
        <f>I46</f>
        <v>2.25</v>
      </c>
      <c r="N46" s="101"/>
      <c r="O46" s="101"/>
      <c r="P46" s="101"/>
    </row>
    <row r="47" spans="1:16" x14ac:dyDescent="0.2">
      <c r="A47" s="265">
        <v>45092</v>
      </c>
      <c r="B47" s="101" t="s">
        <v>454</v>
      </c>
      <c r="C47" s="101" t="s">
        <v>458</v>
      </c>
      <c r="D47" s="101"/>
      <c r="E47" s="101"/>
      <c r="F47" s="101"/>
      <c r="G47" s="101" t="s">
        <v>17</v>
      </c>
      <c r="H47" s="275"/>
      <c r="I47" s="276">
        <v>26.64</v>
      </c>
      <c r="J47" s="101"/>
      <c r="K47" s="101"/>
      <c r="L47" s="269">
        <f t="shared" ref="L47:L48" si="4">I47</f>
        <v>26.64</v>
      </c>
      <c r="M47" s="101"/>
      <c r="N47" s="101"/>
      <c r="O47" s="101"/>
      <c r="P47" s="101"/>
    </row>
    <row r="48" spans="1:16" x14ac:dyDescent="0.2">
      <c r="A48" s="265">
        <v>45092</v>
      </c>
      <c r="B48" s="101" t="s">
        <v>455</v>
      </c>
      <c r="C48" s="101" t="s">
        <v>458</v>
      </c>
      <c r="D48" s="101"/>
      <c r="E48" s="101"/>
      <c r="F48" s="101"/>
      <c r="G48" s="101" t="s">
        <v>17</v>
      </c>
      <c r="H48" s="275"/>
      <c r="I48" s="276">
        <v>106.44</v>
      </c>
      <c r="J48" s="101"/>
      <c r="K48" s="101"/>
      <c r="L48" s="269">
        <f t="shared" si="4"/>
        <v>106.44</v>
      </c>
      <c r="M48" s="101"/>
      <c r="N48" s="101"/>
      <c r="O48" s="101"/>
      <c r="P48" s="101"/>
    </row>
    <row r="49" spans="1:16" x14ac:dyDescent="0.2">
      <c r="A49" s="265">
        <v>45110</v>
      </c>
      <c r="B49" s="101" t="s">
        <v>103</v>
      </c>
      <c r="C49" s="101" t="s">
        <v>459</v>
      </c>
      <c r="D49" s="101">
        <v>6896</v>
      </c>
      <c r="E49" s="101" t="s">
        <v>114</v>
      </c>
      <c r="F49" s="101" t="s">
        <v>601</v>
      </c>
      <c r="G49" s="101" t="s">
        <v>157</v>
      </c>
      <c r="H49" s="275"/>
      <c r="I49" s="276">
        <v>720</v>
      </c>
      <c r="J49" s="101"/>
      <c r="K49" s="101"/>
      <c r="L49" s="101"/>
      <c r="M49" s="269">
        <f t="shared" ref="M49:M54" si="5">I49</f>
        <v>720</v>
      </c>
      <c r="N49" s="101"/>
      <c r="O49" s="101"/>
      <c r="P49" s="101"/>
    </row>
    <row r="50" spans="1:16" x14ac:dyDescent="0.2">
      <c r="A50" s="265">
        <v>45110</v>
      </c>
      <c r="B50" s="101" t="s">
        <v>103</v>
      </c>
      <c r="C50" s="101" t="s">
        <v>460</v>
      </c>
      <c r="D50" s="101" t="s">
        <v>461</v>
      </c>
      <c r="E50" s="101" t="s">
        <v>114</v>
      </c>
      <c r="F50" s="101" t="s">
        <v>601</v>
      </c>
      <c r="G50" s="101" t="s">
        <v>19</v>
      </c>
      <c r="H50" s="275"/>
      <c r="I50" s="276">
        <v>75.989999999999995</v>
      </c>
      <c r="J50" s="101"/>
      <c r="K50" s="101"/>
      <c r="L50" s="101"/>
      <c r="M50" s="269">
        <f t="shared" si="5"/>
        <v>75.989999999999995</v>
      </c>
      <c r="N50" s="101"/>
      <c r="O50" s="101"/>
      <c r="P50" s="101"/>
    </row>
    <row r="51" spans="1:16" x14ac:dyDescent="0.2">
      <c r="A51" s="265">
        <v>45110</v>
      </c>
      <c r="B51" s="101" t="s">
        <v>103</v>
      </c>
      <c r="C51" s="101" t="s">
        <v>462</v>
      </c>
      <c r="D51" s="101" t="s">
        <v>259</v>
      </c>
      <c r="E51" s="101" t="s">
        <v>114</v>
      </c>
      <c r="F51" s="101"/>
      <c r="G51" s="101" t="s">
        <v>106</v>
      </c>
      <c r="H51" s="275"/>
      <c r="I51" s="276">
        <v>43.48</v>
      </c>
      <c r="J51" s="101"/>
      <c r="K51" s="101"/>
      <c r="L51" s="101"/>
      <c r="M51" s="269">
        <f t="shared" si="5"/>
        <v>43.48</v>
      </c>
      <c r="N51" s="101"/>
      <c r="O51" s="101"/>
      <c r="P51" s="101"/>
    </row>
    <row r="52" spans="1:16" x14ac:dyDescent="0.2">
      <c r="A52" s="265">
        <v>45110</v>
      </c>
      <c r="B52" s="101" t="s">
        <v>463</v>
      </c>
      <c r="C52" s="101" t="s">
        <v>464</v>
      </c>
      <c r="D52" s="101">
        <v>15934</v>
      </c>
      <c r="E52" s="101" t="s">
        <v>114</v>
      </c>
      <c r="F52" s="101"/>
      <c r="G52" s="101" t="s">
        <v>106</v>
      </c>
      <c r="H52" s="275"/>
      <c r="I52" s="276">
        <v>287</v>
      </c>
      <c r="J52" s="101"/>
      <c r="K52" s="101"/>
      <c r="L52" s="101"/>
      <c r="M52" s="269">
        <f t="shared" si="5"/>
        <v>287</v>
      </c>
      <c r="N52" s="101"/>
      <c r="O52" s="101"/>
      <c r="P52" s="101"/>
    </row>
    <row r="53" spans="1:16" x14ac:dyDescent="0.2">
      <c r="A53" s="265">
        <v>45124</v>
      </c>
      <c r="B53" s="101" t="s">
        <v>443</v>
      </c>
      <c r="C53" s="101" t="s">
        <v>465</v>
      </c>
      <c r="D53" s="101">
        <v>15310</v>
      </c>
      <c r="E53" s="101" t="s">
        <v>114</v>
      </c>
      <c r="F53" s="101" t="s">
        <v>601</v>
      </c>
      <c r="G53" s="101" t="s">
        <v>57</v>
      </c>
      <c r="H53" s="275"/>
      <c r="I53" s="276">
        <v>453.6</v>
      </c>
      <c r="J53" s="101"/>
      <c r="K53" s="101"/>
      <c r="L53" s="101"/>
      <c r="M53" s="269">
        <f t="shared" si="5"/>
        <v>453.6</v>
      </c>
      <c r="N53" s="101"/>
      <c r="O53" s="101"/>
      <c r="P53" s="101"/>
    </row>
    <row r="54" spans="1:16" x14ac:dyDescent="0.2">
      <c r="A54" s="265">
        <v>45124</v>
      </c>
      <c r="B54" s="101" t="s">
        <v>104</v>
      </c>
      <c r="C54" s="101" t="s">
        <v>466</v>
      </c>
      <c r="D54" s="101" t="s">
        <v>467</v>
      </c>
      <c r="E54" s="101" t="s">
        <v>114</v>
      </c>
      <c r="F54" s="101"/>
      <c r="G54" s="101" t="s">
        <v>50</v>
      </c>
      <c r="H54" s="275"/>
      <c r="I54" s="276">
        <v>68.06</v>
      </c>
      <c r="J54" s="101"/>
      <c r="K54" s="101"/>
      <c r="L54" s="101"/>
      <c r="M54" s="269">
        <f t="shared" si="5"/>
        <v>68.06</v>
      </c>
      <c r="N54" s="101"/>
      <c r="O54" s="101"/>
      <c r="P54" s="101"/>
    </row>
    <row r="55" spans="1:16" x14ac:dyDescent="0.2">
      <c r="A55" s="265">
        <v>45124</v>
      </c>
      <c r="B55" s="101" t="s">
        <v>484</v>
      </c>
      <c r="C55" s="101" t="s">
        <v>468</v>
      </c>
      <c r="D55" s="101"/>
      <c r="E55" s="101"/>
      <c r="F55" s="101"/>
      <c r="G55" s="101" t="s">
        <v>13</v>
      </c>
      <c r="H55" s="275"/>
      <c r="I55" s="276">
        <v>62.16</v>
      </c>
      <c r="J55" s="101"/>
      <c r="K55" s="101"/>
      <c r="L55" s="269">
        <f t="shared" ref="L55:L56" si="6">I55</f>
        <v>62.16</v>
      </c>
      <c r="M55" s="101"/>
      <c r="N55" s="101"/>
      <c r="O55" s="101"/>
      <c r="P55" s="101"/>
    </row>
    <row r="56" spans="1:16" x14ac:dyDescent="0.2">
      <c r="A56" s="265">
        <v>45124</v>
      </c>
      <c r="B56" s="101" t="s">
        <v>485</v>
      </c>
      <c r="C56" s="101" t="s">
        <v>468</v>
      </c>
      <c r="D56" s="101"/>
      <c r="E56" s="101"/>
      <c r="F56" s="101"/>
      <c r="G56" s="101" t="s">
        <v>13</v>
      </c>
      <c r="H56" s="275"/>
      <c r="I56" s="276">
        <v>248.36</v>
      </c>
      <c r="J56" s="101"/>
      <c r="K56" s="101"/>
      <c r="L56" s="269">
        <f t="shared" si="6"/>
        <v>248.36</v>
      </c>
      <c r="M56" s="101"/>
      <c r="N56" s="101"/>
      <c r="O56" s="101"/>
      <c r="P56" s="101"/>
    </row>
    <row r="57" spans="1:16" x14ac:dyDescent="0.2">
      <c r="A57" s="265">
        <v>45124</v>
      </c>
      <c r="B57" s="101" t="s">
        <v>485</v>
      </c>
      <c r="C57" s="101" t="s">
        <v>469</v>
      </c>
      <c r="D57" s="101"/>
      <c r="E57" s="101"/>
      <c r="F57" s="101"/>
      <c r="G57" s="101" t="s">
        <v>19</v>
      </c>
      <c r="H57" s="275"/>
      <c r="I57" s="276">
        <v>1.8</v>
      </c>
      <c r="J57" s="101"/>
      <c r="K57" s="101"/>
      <c r="L57" s="101"/>
      <c r="M57" s="269">
        <f>I57</f>
        <v>1.8</v>
      </c>
      <c r="N57" s="101"/>
      <c r="O57" s="101"/>
      <c r="P57" s="101"/>
    </row>
    <row r="58" spans="1:16" x14ac:dyDescent="0.2">
      <c r="A58" s="265">
        <v>45124</v>
      </c>
      <c r="B58" s="101" t="s">
        <v>484</v>
      </c>
      <c r="C58" s="101" t="s">
        <v>470</v>
      </c>
      <c r="D58" s="101"/>
      <c r="E58" s="101"/>
      <c r="F58" s="101"/>
      <c r="G58" s="101" t="s">
        <v>17</v>
      </c>
      <c r="H58" s="275"/>
      <c r="I58" s="276">
        <v>26.64</v>
      </c>
      <c r="J58" s="101"/>
      <c r="K58" s="101"/>
      <c r="L58" s="269">
        <f t="shared" ref="L58:L59" si="7">I58</f>
        <v>26.64</v>
      </c>
      <c r="M58" s="101"/>
      <c r="N58" s="101"/>
      <c r="O58" s="101"/>
      <c r="P58" s="101"/>
    </row>
    <row r="59" spans="1:16" x14ac:dyDescent="0.2">
      <c r="A59" s="265">
        <v>45124</v>
      </c>
      <c r="B59" s="101" t="s">
        <v>485</v>
      </c>
      <c r="C59" s="101" t="s">
        <v>470</v>
      </c>
      <c r="D59" s="101"/>
      <c r="E59" s="101"/>
      <c r="F59" s="101"/>
      <c r="G59" s="101" t="s">
        <v>17</v>
      </c>
      <c r="H59" s="275"/>
      <c r="I59" s="276">
        <v>106.44</v>
      </c>
      <c r="J59" s="101"/>
      <c r="K59" s="101"/>
      <c r="L59" s="269">
        <f t="shared" si="7"/>
        <v>106.44</v>
      </c>
      <c r="M59" s="101"/>
      <c r="N59" s="101"/>
      <c r="O59" s="101"/>
      <c r="P59" s="101"/>
    </row>
    <row r="60" spans="1:16" x14ac:dyDescent="0.2">
      <c r="A60" s="265">
        <v>45127</v>
      </c>
      <c r="B60" s="101" t="s">
        <v>121</v>
      </c>
      <c r="C60" s="101" t="s">
        <v>471</v>
      </c>
      <c r="D60" s="101">
        <v>51094</v>
      </c>
      <c r="E60" s="101" t="s">
        <v>114</v>
      </c>
      <c r="F60" s="101" t="s">
        <v>601</v>
      </c>
      <c r="G60" s="101" t="s">
        <v>172</v>
      </c>
      <c r="H60" s="275"/>
      <c r="I60" s="276">
        <v>54</v>
      </c>
      <c r="J60" s="101"/>
      <c r="K60" s="101"/>
      <c r="L60" s="101"/>
      <c r="M60" s="269">
        <f t="shared" ref="M60:M63" si="8">I60</f>
        <v>54</v>
      </c>
      <c r="N60" s="101"/>
      <c r="O60" s="101"/>
      <c r="P60" s="101"/>
    </row>
    <row r="61" spans="1:16" x14ac:dyDescent="0.2">
      <c r="A61" s="265">
        <v>45153</v>
      </c>
      <c r="B61" s="101" t="s">
        <v>102</v>
      </c>
      <c r="C61" s="101" t="s">
        <v>472</v>
      </c>
      <c r="D61" s="101">
        <v>1583</v>
      </c>
      <c r="E61" s="101" t="s">
        <v>114</v>
      </c>
      <c r="F61" s="101"/>
      <c r="G61" s="101" t="s">
        <v>30</v>
      </c>
      <c r="H61" s="275"/>
      <c r="I61" s="276">
        <v>302.92</v>
      </c>
      <c r="J61" s="101"/>
      <c r="K61" s="101"/>
      <c r="L61" s="101"/>
      <c r="M61" s="269">
        <f t="shared" si="8"/>
        <v>302.92</v>
      </c>
      <c r="N61" s="101"/>
      <c r="O61" s="101"/>
      <c r="P61" s="101"/>
    </row>
    <row r="62" spans="1:16" x14ac:dyDescent="0.2">
      <c r="A62" s="265">
        <v>45153</v>
      </c>
      <c r="B62" s="101" t="s">
        <v>306</v>
      </c>
      <c r="C62" s="101" t="s">
        <v>473</v>
      </c>
      <c r="D62" s="101" t="s">
        <v>474</v>
      </c>
      <c r="E62" s="101" t="s">
        <v>114</v>
      </c>
      <c r="F62" s="101"/>
      <c r="G62" s="101" t="s">
        <v>46</v>
      </c>
      <c r="H62" s="275"/>
      <c r="I62" s="276">
        <v>201</v>
      </c>
      <c r="J62" s="101"/>
      <c r="K62" s="101"/>
      <c r="L62" s="101"/>
      <c r="M62" s="269">
        <f t="shared" si="8"/>
        <v>201</v>
      </c>
      <c r="N62" s="101"/>
      <c r="O62" s="101"/>
      <c r="P62" s="101"/>
    </row>
    <row r="63" spans="1:16" x14ac:dyDescent="0.2">
      <c r="A63" s="265">
        <v>45153</v>
      </c>
      <c r="B63" s="101" t="s">
        <v>443</v>
      </c>
      <c r="C63" s="101" t="s">
        <v>475</v>
      </c>
      <c r="D63" s="101">
        <v>15376</v>
      </c>
      <c r="E63" s="101" t="s">
        <v>114</v>
      </c>
      <c r="F63" s="101" t="s">
        <v>601</v>
      </c>
      <c r="G63" s="101" t="s">
        <v>57</v>
      </c>
      <c r="H63" s="275"/>
      <c r="I63" s="276">
        <v>453.6</v>
      </c>
      <c r="J63" s="101"/>
      <c r="K63" s="101"/>
      <c r="L63" s="101"/>
      <c r="M63" s="269">
        <f t="shared" si="8"/>
        <v>453.6</v>
      </c>
      <c r="N63" s="101"/>
      <c r="O63" s="101"/>
      <c r="P63" s="101"/>
    </row>
    <row r="64" spans="1:16" x14ac:dyDescent="0.2">
      <c r="A64" s="265">
        <v>45184</v>
      </c>
      <c r="B64" s="101" t="s">
        <v>127</v>
      </c>
      <c r="C64" s="101" t="s">
        <v>476</v>
      </c>
      <c r="D64" s="101" t="s">
        <v>249</v>
      </c>
      <c r="E64" s="101" t="s">
        <v>114</v>
      </c>
      <c r="F64" s="101"/>
      <c r="G64" s="101" t="s">
        <v>4</v>
      </c>
      <c r="H64" s="275">
        <v>12500</v>
      </c>
      <c r="I64" s="276"/>
      <c r="J64" s="273">
        <f>H64</f>
        <v>12500</v>
      </c>
      <c r="K64" s="273"/>
      <c r="L64" s="273"/>
      <c r="M64" s="273"/>
      <c r="N64" s="273"/>
      <c r="O64" s="101"/>
      <c r="P64" s="101"/>
    </row>
    <row r="65" spans="1:16" x14ac:dyDescent="0.2">
      <c r="A65" s="265">
        <v>45187</v>
      </c>
      <c r="B65" s="101" t="s">
        <v>127</v>
      </c>
      <c r="C65" s="101" t="s">
        <v>477</v>
      </c>
      <c r="D65" s="101" t="s">
        <v>249</v>
      </c>
      <c r="E65" s="101" t="s">
        <v>114</v>
      </c>
      <c r="F65" s="101"/>
      <c r="G65" s="101" t="s">
        <v>6</v>
      </c>
      <c r="H65" s="275">
        <v>17.5</v>
      </c>
      <c r="I65" s="276"/>
      <c r="J65" s="273"/>
      <c r="K65" s="273">
        <f>H65</f>
        <v>17.5</v>
      </c>
      <c r="L65" s="273"/>
      <c r="M65" s="273"/>
      <c r="N65" s="273"/>
      <c r="O65" s="101"/>
      <c r="P65" s="101"/>
    </row>
    <row r="66" spans="1:16" x14ac:dyDescent="0.2">
      <c r="A66" s="265">
        <v>45189</v>
      </c>
      <c r="B66" s="101" t="s">
        <v>145</v>
      </c>
      <c r="C66" s="101" t="s">
        <v>478</v>
      </c>
      <c r="D66" s="101">
        <v>8181</v>
      </c>
      <c r="E66" s="101" t="s">
        <v>114</v>
      </c>
      <c r="F66" s="101" t="s">
        <v>601</v>
      </c>
      <c r="G66" s="101" t="s">
        <v>59</v>
      </c>
      <c r="H66" s="275"/>
      <c r="I66" s="276">
        <v>384</v>
      </c>
      <c r="J66" s="101"/>
      <c r="K66" s="101"/>
      <c r="L66" s="101"/>
      <c r="M66" s="269">
        <f t="shared" ref="M66:M69" si="9">I66</f>
        <v>384</v>
      </c>
      <c r="N66" s="101"/>
      <c r="O66" s="101"/>
      <c r="P66" s="101"/>
    </row>
    <row r="67" spans="1:16" x14ac:dyDescent="0.2">
      <c r="A67" s="265">
        <v>45189</v>
      </c>
      <c r="B67" s="101" t="s">
        <v>479</v>
      </c>
      <c r="C67" s="101" t="s">
        <v>480</v>
      </c>
      <c r="D67" s="101">
        <v>8001707800</v>
      </c>
      <c r="E67" s="101" t="s">
        <v>114</v>
      </c>
      <c r="F67" s="101"/>
      <c r="G67" s="101" t="s">
        <v>49</v>
      </c>
      <c r="H67" s="275"/>
      <c r="I67" s="276">
        <v>400</v>
      </c>
      <c r="J67" s="101"/>
      <c r="K67" s="101"/>
      <c r="L67" s="101"/>
      <c r="M67" s="269">
        <f t="shared" si="9"/>
        <v>400</v>
      </c>
      <c r="N67" s="101"/>
      <c r="O67" s="101"/>
      <c r="P67" s="101"/>
    </row>
    <row r="68" spans="1:16" x14ac:dyDescent="0.2">
      <c r="A68" s="265">
        <v>45189</v>
      </c>
      <c r="B68" s="101" t="s">
        <v>482</v>
      </c>
      <c r="C68" s="101" t="s">
        <v>560</v>
      </c>
      <c r="D68" s="101">
        <v>10</v>
      </c>
      <c r="E68" s="101" t="s">
        <v>114</v>
      </c>
      <c r="F68" s="101"/>
      <c r="G68" s="101" t="s">
        <v>165</v>
      </c>
      <c r="H68" s="275"/>
      <c r="I68" s="276">
        <v>20</v>
      </c>
      <c r="J68" s="101"/>
      <c r="K68" s="101"/>
      <c r="L68" s="101"/>
      <c r="M68" s="269">
        <f t="shared" si="9"/>
        <v>20</v>
      </c>
      <c r="N68" s="101"/>
      <c r="O68" s="101"/>
      <c r="P68" s="101"/>
    </row>
    <row r="69" spans="1:16" x14ac:dyDescent="0.2">
      <c r="A69" s="265">
        <v>45189</v>
      </c>
      <c r="B69" s="101" t="s">
        <v>181</v>
      </c>
      <c r="C69" s="101" t="s">
        <v>483</v>
      </c>
      <c r="D69" s="101">
        <v>319548</v>
      </c>
      <c r="E69" s="101" t="s">
        <v>114</v>
      </c>
      <c r="F69" s="101" t="s">
        <v>601</v>
      </c>
      <c r="G69" s="101" t="s">
        <v>25</v>
      </c>
      <c r="H69" s="275"/>
      <c r="I69" s="276">
        <v>378</v>
      </c>
      <c r="J69" s="101"/>
      <c r="K69" s="101"/>
      <c r="L69" s="101"/>
      <c r="M69" s="269">
        <f t="shared" si="9"/>
        <v>378</v>
      </c>
      <c r="N69" s="101"/>
      <c r="O69" s="101"/>
      <c r="P69" s="101"/>
    </row>
    <row r="70" spans="1:16" x14ac:dyDescent="0.2">
      <c r="A70" s="265">
        <v>45189</v>
      </c>
      <c r="B70" s="101" t="s">
        <v>486</v>
      </c>
      <c r="C70" s="101" t="s">
        <v>488</v>
      </c>
      <c r="D70" s="101"/>
      <c r="E70" s="101"/>
      <c r="F70" s="101"/>
      <c r="G70" s="101" t="s">
        <v>13</v>
      </c>
      <c r="H70" s="275"/>
      <c r="I70" s="276">
        <v>62.02</v>
      </c>
      <c r="J70" s="101"/>
      <c r="K70" s="101"/>
      <c r="L70" s="269">
        <f t="shared" ref="L70:L71" si="10">I70</f>
        <v>62.02</v>
      </c>
      <c r="M70" s="101"/>
      <c r="N70" s="101"/>
      <c r="O70" s="101"/>
      <c r="P70" s="101"/>
    </row>
    <row r="71" spans="1:16" x14ac:dyDescent="0.2">
      <c r="A71" s="265">
        <v>45189</v>
      </c>
      <c r="B71" s="101" t="s">
        <v>487</v>
      </c>
      <c r="C71" s="101" t="s">
        <v>488</v>
      </c>
      <c r="D71" s="101"/>
      <c r="E71" s="101"/>
      <c r="F71" s="101"/>
      <c r="G71" s="101" t="s">
        <v>13</v>
      </c>
      <c r="H71" s="275"/>
      <c r="I71" s="276">
        <v>248.5</v>
      </c>
      <c r="J71" s="101"/>
      <c r="K71" s="101"/>
      <c r="L71" s="269">
        <f t="shared" si="10"/>
        <v>248.5</v>
      </c>
      <c r="M71" s="101"/>
      <c r="N71" s="101"/>
      <c r="O71" s="101"/>
      <c r="P71" s="101"/>
    </row>
    <row r="72" spans="1:16" x14ac:dyDescent="0.2">
      <c r="A72" s="265">
        <v>45189</v>
      </c>
      <c r="B72" s="101" t="s">
        <v>487</v>
      </c>
      <c r="C72" s="101" t="s">
        <v>489</v>
      </c>
      <c r="D72" s="101"/>
      <c r="E72" s="101"/>
      <c r="F72" s="101"/>
      <c r="G72" s="101" t="s">
        <v>19</v>
      </c>
      <c r="H72" s="275"/>
      <c r="I72" s="276">
        <v>0</v>
      </c>
      <c r="J72" s="101"/>
      <c r="K72" s="101"/>
      <c r="L72" s="101"/>
      <c r="M72" s="269">
        <f>I72</f>
        <v>0</v>
      </c>
      <c r="N72" s="101"/>
      <c r="O72" s="101"/>
      <c r="P72" s="101"/>
    </row>
    <row r="73" spans="1:16" x14ac:dyDescent="0.2">
      <c r="A73" s="265">
        <v>45189</v>
      </c>
      <c r="B73" s="101" t="s">
        <v>486</v>
      </c>
      <c r="C73" s="101" t="s">
        <v>490</v>
      </c>
      <c r="D73" s="101"/>
      <c r="E73" s="101"/>
      <c r="F73" s="101"/>
      <c r="G73" s="101" t="s">
        <v>17</v>
      </c>
      <c r="H73" s="275"/>
      <c r="I73" s="276">
        <v>26.58</v>
      </c>
      <c r="J73" s="101"/>
      <c r="K73" s="101"/>
      <c r="L73" s="269">
        <f t="shared" ref="L73:L76" si="11">I73</f>
        <v>26.58</v>
      </c>
      <c r="M73" s="101"/>
      <c r="N73" s="101"/>
      <c r="O73" s="101"/>
      <c r="P73" s="101"/>
    </row>
    <row r="74" spans="1:16" x14ac:dyDescent="0.2">
      <c r="A74" s="265">
        <v>45189</v>
      </c>
      <c r="B74" s="101" t="s">
        <v>487</v>
      </c>
      <c r="C74" s="101" t="s">
        <v>490</v>
      </c>
      <c r="D74" s="101"/>
      <c r="E74" s="101"/>
      <c r="F74" s="101"/>
      <c r="G74" s="101" t="s">
        <v>17</v>
      </c>
      <c r="H74" s="275"/>
      <c r="I74" s="276">
        <v>106.5</v>
      </c>
      <c r="J74" s="101"/>
      <c r="K74" s="101"/>
      <c r="L74" s="269">
        <f t="shared" si="11"/>
        <v>106.5</v>
      </c>
      <c r="M74" s="101"/>
      <c r="N74" s="101"/>
      <c r="O74" s="101"/>
      <c r="P74" s="101"/>
    </row>
    <row r="75" spans="1:16" x14ac:dyDescent="0.2">
      <c r="A75" s="265">
        <v>45189</v>
      </c>
      <c r="B75" s="101" t="s">
        <v>494</v>
      </c>
      <c r="C75" s="101" t="s">
        <v>491</v>
      </c>
      <c r="D75" s="101"/>
      <c r="E75" s="101"/>
      <c r="F75" s="101"/>
      <c r="G75" s="101" t="s">
        <v>13</v>
      </c>
      <c r="H75" s="275"/>
      <c r="I75" s="276">
        <v>62.16</v>
      </c>
      <c r="J75" s="101"/>
      <c r="K75" s="101"/>
      <c r="L75" s="269">
        <f t="shared" si="11"/>
        <v>62.16</v>
      </c>
      <c r="M75" s="101"/>
      <c r="N75" s="101"/>
      <c r="O75" s="101"/>
      <c r="P75" s="101"/>
    </row>
    <row r="76" spans="1:16" x14ac:dyDescent="0.2">
      <c r="A76" s="265">
        <v>45189</v>
      </c>
      <c r="B76" s="101" t="s">
        <v>495</v>
      </c>
      <c r="C76" s="101" t="s">
        <v>491</v>
      </c>
      <c r="D76" s="101"/>
      <c r="E76" s="101"/>
      <c r="F76" s="101"/>
      <c r="G76" s="101" t="s">
        <v>13</v>
      </c>
      <c r="H76" s="275"/>
      <c r="I76" s="276">
        <v>248.36</v>
      </c>
      <c r="J76" s="101"/>
      <c r="K76" s="101"/>
      <c r="L76" s="269">
        <f t="shared" si="11"/>
        <v>248.36</v>
      </c>
      <c r="M76" s="101"/>
      <c r="N76" s="101"/>
      <c r="O76" s="101"/>
      <c r="P76" s="101"/>
    </row>
    <row r="77" spans="1:16" x14ac:dyDescent="0.2">
      <c r="A77" s="265">
        <v>45189</v>
      </c>
      <c r="B77" s="101" t="s">
        <v>495</v>
      </c>
      <c r="C77" s="101" t="s">
        <v>492</v>
      </c>
      <c r="D77" s="101"/>
      <c r="E77" s="101"/>
      <c r="F77" s="101"/>
      <c r="G77" s="101" t="s">
        <v>19</v>
      </c>
      <c r="H77" s="275"/>
      <c r="I77" s="276">
        <v>4.7300000000000004</v>
      </c>
      <c r="J77" s="101"/>
      <c r="K77" s="101"/>
      <c r="L77" s="101"/>
      <c r="M77" s="269">
        <f>I77</f>
        <v>4.7300000000000004</v>
      </c>
      <c r="N77" s="101"/>
      <c r="O77" s="101"/>
      <c r="P77" s="101"/>
    </row>
    <row r="78" spans="1:16" x14ac:dyDescent="0.2">
      <c r="A78" s="265">
        <v>45189</v>
      </c>
      <c r="B78" s="101" t="s">
        <v>494</v>
      </c>
      <c r="C78" s="101" t="s">
        <v>493</v>
      </c>
      <c r="D78" s="101"/>
      <c r="E78" s="101"/>
      <c r="F78" s="101"/>
      <c r="G78" s="101" t="s">
        <v>17</v>
      </c>
      <c r="H78" s="275"/>
      <c r="I78" s="276">
        <v>26.64</v>
      </c>
      <c r="J78" s="101"/>
      <c r="K78" s="101"/>
      <c r="L78" s="269">
        <f t="shared" ref="L78:L79" si="12">I78</f>
        <v>26.64</v>
      </c>
      <c r="M78" s="101"/>
      <c r="N78" s="101"/>
      <c r="O78" s="101"/>
      <c r="P78" s="101"/>
    </row>
    <row r="79" spans="1:16" x14ac:dyDescent="0.2">
      <c r="A79" s="265">
        <v>45189</v>
      </c>
      <c r="B79" s="101" t="s">
        <v>495</v>
      </c>
      <c r="C79" s="101" t="s">
        <v>493</v>
      </c>
      <c r="D79" s="101"/>
      <c r="E79" s="101"/>
      <c r="F79" s="101"/>
      <c r="G79" s="101" t="s">
        <v>17</v>
      </c>
      <c r="H79" s="275"/>
      <c r="I79" s="276">
        <v>106.44</v>
      </c>
      <c r="J79" s="101"/>
      <c r="K79" s="101"/>
      <c r="L79" s="269">
        <f t="shared" si="12"/>
        <v>106.44</v>
      </c>
      <c r="M79" s="101"/>
      <c r="N79" s="101"/>
      <c r="O79" s="101"/>
      <c r="P79" s="101"/>
    </row>
    <row r="80" spans="1:16" x14ac:dyDescent="0.2">
      <c r="A80" s="265">
        <v>45189</v>
      </c>
      <c r="B80" s="101" t="s">
        <v>103</v>
      </c>
      <c r="C80" s="101" t="s">
        <v>447</v>
      </c>
      <c r="D80" s="101" t="s">
        <v>496</v>
      </c>
      <c r="E80" s="101" t="s">
        <v>114</v>
      </c>
      <c r="F80" s="101" t="s">
        <v>601</v>
      </c>
      <c r="G80" s="101" t="s">
        <v>69</v>
      </c>
      <c r="H80" s="275"/>
      <c r="I80" s="276">
        <v>71.94</v>
      </c>
      <c r="J80" s="101"/>
      <c r="K80" s="101"/>
      <c r="L80" s="101"/>
      <c r="M80" s="269">
        <f>I80</f>
        <v>71.94</v>
      </c>
      <c r="N80" s="101"/>
      <c r="O80" s="101"/>
      <c r="P80" s="101"/>
    </row>
    <row r="81" spans="1:16" x14ac:dyDescent="0.2">
      <c r="A81" s="265">
        <v>45191</v>
      </c>
      <c r="B81" s="101" t="s">
        <v>127</v>
      </c>
      <c r="C81" s="101" t="s">
        <v>498</v>
      </c>
      <c r="D81" s="101" t="s">
        <v>249</v>
      </c>
      <c r="E81" s="101" t="s">
        <v>114</v>
      </c>
      <c r="F81" s="101"/>
      <c r="G81" s="101" t="s">
        <v>6</v>
      </c>
      <c r="H81" s="275">
        <v>35</v>
      </c>
      <c r="I81" s="276"/>
      <c r="J81" s="273"/>
      <c r="K81" s="273">
        <f t="shared" ref="K81:K83" si="13">H81</f>
        <v>35</v>
      </c>
      <c r="L81" s="273"/>
      <c r="M81" s="273"/>
      <c r="N81" s="273"/>
      <c r="O81" s="101"/>
      <c r="P81" s="101"/>
    </row>
    <row r="82" spans="1:16" x14ac:dyDescent="0.2">
      <c r="A82" s="265">
        <v>45194</v>
      </c>
      <c r="B82" s="101" t="s">
        <v>127</v>
      </c>
      <c r="C82" s="101" t="s">
        <v>497</v>
      </c>
      <c r="D82" s="101" t="s">
        <v>249</v>
      </c>
      <c r="E82" s="101" t="s">
        <v>114</v>
      </c>
      <c r="F82" s="101"/>
      <c r="G82" s="101" t="s">
        <v>6</v>
      </c>
      <c r="H82" s="275">
        <v>17.5</v>
      </c>
      <c r="I82" s="276"/>
      <c r="J82" s="273"/>
      <c r="K82" s="273">
        <f t="shared" si="13"/>
        <v>17.5</v>
      </c>
      <c r="L82" s="273"/>
      <c r="M82" s="273"/>
      <c r="N82" s="273"/>
      <c r="O82" s="101"/>
      <c r="P82" s="101"/>
    </row>
    <row r="83" spans="1:16" x14ac:dyDescent="0.2">
      <c r="A83" s="265">
        <v>45194</v>
      </c>
      <c r="B83" s="101" t="s">
        <v>127</v>
      </c>
      <c r="C83" s="101" t="s">
        <v>499</v>
      </c>
      <c r="D83" s="101" t="s">
        <v>249</v>
      </c>
      <c r="E83" s="101" t="s">
        <v>114</v>
      </c>
      <c r="F83" s="101"/>
      <c r="G83" s="101" t="s">
        <v>6</v>
      </c>
      <c r="H83" s="275">
        <v>17.5</v>
      </c>
      <c r="I83" s="276"/>
      <c r="J83" s="273"/>
      <c r="K83" s="273">
        <f t="shared" si="13"/>
        <v>17.5</v>
      </c>
      <c r="L83" s="273"/>
      <c r="M83" s="273"/>
      <c r="N83" s="273"/>
      <c r="O83" s="101"/>
      <c r="P83" s="101"/>
    </row>
    <row r="84" spans="1:16" x14ac:dyDescent="0.2">
      <c r="A84" s="265">
        <v>45194</v>
      </c>
      <c r="B84" s="101" t="s">
        <v>443</v>
      </c>
      <c r="C84" s="101" t="s">
        <v>500</v>
      </c>
      <c r="D84" s="101">
        <v>15443</v>
      </c>
      <c r="E84" s="101" t="s">
        <v>114</v>
      </c>
      <c r="F84" s="101" t="s">
        <v>601</v>
      </c>
      <c r="G84" s="101" t="s">
        <v>57</v>
      </c>
      <c r="H84" s="275"/>
      <c r="I84" s="276">
        <v>453.6</v>
      </c>
      <c r="J84" s="101"/>
      <c r="K84" s="101"/>
      <c r="L84" s="101"/>
      <c r="M84" s="269">
        <f>I84</f>
        <v>453.6</v>
      </c>
      <c r="N84" s="101"/>
      <c r="O84" s="101"/>
      <c r="P84" s="101"/>
    </row>
    <row r="85" spans="1:16" x14ac:dyDescent="0.2">
      <c r="A85" s="265">
        <v>45194</v>
      </c>
      <c r="B85" s="101" t="s">
        <v>127</v>
      </c>
      <c r="C85" s="101" t="s">
        <v>501</v>
      </c>
      <c r="D85" s="101" t="s">
        <v>249</v>
      </c>
      <c r="E85" s="101" t="s">
        <v>114</v>
      </c>
      <c r="F85" s="101"/>
      <c r="G85" s="101" t="s">
        <v>6</v>
      </c>
      <c r="H85" s="275">
        <v>8.75</v>
      </c>
      <c r="I85" s="276"/>
      <c r="J85" s="273"/>
      <c r="K85" s="273">
        <f t="shared" ref="K85:K86" si="14">H85</f>
        <v>8.75</v>
      </c>
      <c r="L85" s="273"/>
      <c r="M85" s="273"/>
      <c r="N85" s="273"/>
      <c r="O85" s="101"/>
      <c r="P85" s="101"/>
    </row>
    <row r="86" spans="1:16" x14ac:dyDescent="0.2">
      <c r="A86" s="265">
        <v>45194</v>
      </c>
      <c r="B86" s="101" t="s">
        <v>127</v>
      </c>
      <c r="C86" s="101" t="s">
        <v>502</v>
      </c>
      <c r="D86" s="101" t="s">
        <v>249</v>
      </c>
      <c r="E86" s="101" t="s">
        <v>114</v>
      </c>
      <c r="F86" s="101"/>
      <c r="G86" s="101" t="s">
        <v>6</v>
      </c>
      <c r="H86" s="275">
        <v>17.5</v>
      </c>
      <c r="I86" s="276"/>
      <c r="J86" s="273"/>
      <c r="K86" s="273">
        <f t="shared" si="14"/>
        <v>17.5</v>
      </c>
      <c r="L86" s="273"/>
      <c r="M86" s="273"/>
      <c r="N86" s="273"/>
      <c r="O86" s="101"/>
      <c r="P86" s="101"/>
    </row>
    <row r="87" spans="1:16" x14ac:dyDescent="0.2">
      <c r="A87" s="265">
        <v>45196</v>
      </c>
      <c r="B87" s="101" t="s">
        <v>503</v>
      </c>
      <c r="C87" s="101" t="s">
        <v>504</v>
      </c>
      <c r="D87" s="101" t="s">
        <v>249</v>
      </c>
      <c r="E87" s="101" t="s">
        <v>114</v>
      </c>
      <c r="F87" s="101"/>
      <c r="G87" s="101" t="s">
        <v>21</v>
      </c>
      <c r="H87" s="275"/>
      <c r="I87" s="276">
        <v>35</v>
      </c>
      <c r="J87" s="101"/>
      <c r="K87" s="101"/>
      <c r="L87" s="101"/>
      <c r="M87" s="269">
        <f>I87</f>
        <v>35</v>
      </c>
      <c r="N87" s="101"/>
      <c r="O87" s="101"/>
      <c r="P87" s="101"/>
    </row>
    <row r="88" spans="1:16" x14ac:dyDescent="0.2">
      <c r="A88" s="265">
        <v>45196</v>
      </c>
      <c r="B88" s="101" t="s">
        <v>127</v>
      </c>
      <c r="C88" s="101" t="s">
        <v>505</v>
      </c>
      <c r="D88" s="101" t="s">
        <v>249</v>
      </c>
      <c r="E88" s="101" t="s">
        <v>114</v>
      </c>
      <c r="F88" s="101"/>
      <c r="G88" s="101" t="s">
        <v>6</v>
      </c>
      <c r="H88" s="275">
        <v>17.5</v>
      </c>
      <c r="I88" s="276"/>
      <c r="J88" s="273"/>
      <c r="K88" s="273">
        <f t="shared" ref="K88:K91" si="15">H88</f>
        <v>17.5</v>
      </c>
      <c r="L88" s="273"/>
      <c r="M88" s="273"/>
      <c r="N88" s="273"/>
      <c r="O88" s="101"/>
      <c r="P88" s="101"/>
    </row>
    <row r="89" spans="1:16" x14ac:dyDescent="0.2">
      <c r="A89" s="265">
        <v>45196</v>
      </c>
      <c r="B89" s="101" t="s">
        <v>127</v>
      </c>
      <c r="C89" s="101" t="s">
        <v>506</v>
      </c>
      <c r="D89" s="101" t="s">
        <v>249</v>
      </c>
      <c r="E89" s="101" t="s">
        <v>114</v>
      </c>
      <c r="F89" s="101"/>
      <c r="G89" s="101" t="s">
        <v>6</v>
      </c>
      <c r="H89" s="275">
        <v>17.5</v>
      </c>
      <c r="I89" s="276"/>
      <c r="J89" s="273"/>
      <c r="K89" s="273">
        <f t="shared" si="15"/>
        <v>17.5</v>
      </c>
      <c r="L89" s="273"/>
      <c r="M89" s="273"/>
      <c r="N89" s="273"/>
      <c r="O89" s="101"/>
      <c r="P89" s="101"/>
    </row>
    <row r="90" spans="1:16" x14ac:dyDescent="0.2">
      <c r="A90" s="265">
        <v>45204</v>
      </c>
      <c r="B90" s="101" t="s">
        <v>127</v>
      </c>
      <c r="C90" s="101" t="s">
        <v>501</v>
      </c>
      <c r="D90" s="101" t="s">
        <v>249</v>
      </c>
      <c r="E90" s="101" t="s">
        <v>114</v>
      </c>
      <c r="F90" s="101"/>
      <c r="G90" s="101" t="s">
        <v>6</v>
      </c>
      <c r="H90" s="275">
        <v>8.75</v>
      </c>
      <c r="I90" s="276"/>
      <c r="J90" s="273"/>
      <c r="K90" s="273">
        <f t="shared" si="15"/>
        <v>8.75</v>
      </c>
      <c r="L90" s="273"/>
      <c r="M90" s="273"/>
      <c r="N90" s="273"/>
      <c r="O90" s="101"/>
      <c r="P90" s="101"/>
    </row>
    <row r="91" spans="1:16" x14ac:dyDescent="0.2">
      <c r="A91" s="265">
        <v>45204</v>
      </c>
      <c r="B91" s="101" t="s">
        <v>127</v>
      </c>
      <c r="C91" s="101" t="s">
        <v>508</v>
      </c>
      <c r="D91" s="101" t="s">
        <v>249</v>
      </c>
      <c r="E91" s="101" t="s">
        <v>114</v>
      </c>
      <c r="F91" s="101"/>
      <c r="G91" s="101" t="s">
        <v>6</v>
      </c>
      <c r="H91" s="275">
        <v>87.5</v>
      </c>
      <c r="I91" s="276"/>
      <c r="J91" s="273"/>
      <c r="K91" s="273">
        <f t="shared" si="15"/>
        <v>87.5</v>
      </c>
      <c r="L91" s="273"/>
      <c r="M91" s="273"/>
      <c r="N91" s="273"/>
      <c r="O91" s="101"/>
      <c r="P91" s="101"/>
    </row>
    <row r="92" spans="1:16" x14ac:dyDescent="0.2">
      <c r="A92" s="265">
        <v>45215</v>
      </c>
      <c r="B92" s="101" t="s">
        <v>526</v>
      </c>
      <c r="C92" s="101" t="s">
        <v>528</v>
      </c>
      <c r="D92" s="101"/>
      <c r="E92" s="101"/>
      <c r="F92" s="101"/>
      <c r="G92" s="101" t="s">
        <v>13</v>
      </c>
      <c r="H92" s="275"/>
      <c r="I92" s="276">
        <v>62.02</v>
      </c>
      <c r="J92" s="101"/>
      <c r="K92" s="101"/>
      <c r="L92" s="269">
        <f t="shared" ref="L92:L93" si="16">I92</f>
        <v>62.02</v>
      </c>
      <c r="M92" s="101"/>
      <c r="N92" s="101"/>
      <c r="O92" s="101"/>
      <c r="P92" s="101"/>
    </row>
    <row r="93" spans="1:16" x14ac:dyDescent="0.2">
      <c r="A93" s="265">
        <v>45215</v>
      </c>
      <c r="B93" s="101" t="s">
        <v>527</v>
      </c>
      <c r="C93" s="101" t="s">
        <v>528</v>
      </c>
      <c r="D93" s="101"/>
      <c r="E93" s="101"/>
      <c r="F93" s="101"/>
      <c r="G93" s="101" t="s">
        <v>13</v>
      </c>
      <c r="H93" s="275"/>
      <c r="I93" s="276">
        <v>248.5</v>
      </c>
      <c r="J93" s="101"/>
      <c r="K93" s="101"/>
      <c r="L93" s="269">
        <f t="shared" si="16"/>
        <v>248.5</v>
      </c>
      <c r="M93" s="101"/>
      <c r="N93" s="101"/>
      <c r="O93" s="101"/>
      <c r="P93" s="101"/>
    </row>
    <row r="94" spans="1:16" x14ac:dyDescent="0.2">
      <c r="A94" s="265">
        <v>45215</v>
      </c>
      <c r="B94" s="101" t="s">
        <v>527</v>
      </c>
      <c r="C94" s="101" t="s">
        <v>536</v>
      </c>
      <c r="D94" s="101"/>
      <c r="E94" s="101"/>
      <c r="F94" s="101"/>
      <c r="G94" s="101" t="s">
        <v>19</v>
      </c>
      <c r="H94" s="275"/>
      <c r="I94" s="276">
        <v>3.38</v>
      </c>
      <c r="J94" s="101"/>
      <c r="K94" s="101"/>
      <c r="L94" s="101"/>
      <c r="M94" s="269">
        <f>I94</f>
        <v>3.38</v>
      </c>
      <c r="N94" s="101"/>
      <c r="O94" s="101"/>
      <c r="P94" s="101"/>
    </row>
    <row r="95" spans="1:16" x14ac:dyDescent="0.2">
      <c r="A95" s="265">
        <v>45215</v>
      </c>
      <c r="B95" s="101" t="s">
        <v>526</v>
      </c>
      <c r="C95" s="101" t="s">
        <v>529</v>
      </c>
      <c r="D95" s="101"/>
      <c r="E95" s="101"/>
      <c r="F95" s="101"/>
      <c r="G95" s="101" t="s">
        <v>17</v>
      </c>
      <c r="H95" s="275"/>
      <c r="I95" s="276">
        <v>26.58</v>
      </c>
      <c r="J95" s="101"/>
      <c r="K95" s="101"/>
      <c r="L95" s="269">
        <f t="shared" ref="L95:L96" si="17">I95</f>
        <v>26.58</v>
      </c>
      <c r="M95" s="101"/>
      <c r="N95" s="101"/>
      <c r="O95" s="101"/>
      <c r="P95" s="101"/>
    </row>
    <row r="96" spans="1:16" x14ac:dyDescent="0.2">
      <c r="A96" s="265">
        <v>45215</v>
      </c>
      <c r="B96" s="101" t="s">
        <v>527</v>
      </c>
      <c r="C96" s="101" t="s">
        <v>529</v>
      </c>
      <c r="D96" s="101"/>
      <c r="E96" s="101"/>
      <c r="F96" s="101"/>
      <c r="G96" s="101" t="s">
        <v>17</v>
      </c>
      <c r="H96" s="275"/>
      <c r="I96" s="276">
        <v>106.5</v>
      </c>
      <c r="J96" s="101"/>
      <c r="K96" s="101"/>
      <c r="L96" s="269">
        <f t="shared" si="17"/>
        <v>106.5</v>
      </c>
      <c r="M96" s="101"/>
      <c r="N96" s="101"/>
      <c r="O96" s="101"/>
      <c r="P96" s="101"/>
    </row>
    <row r="97" spans="1:16" x14ac:dyDescent="0.2">
      <c r="A97" s="265">
        <v>45216</v>
      </c>
      <c r="B97" s="101" t="s">
        <v>127</v>
      </c>
      <c r="C97" s="101" t="s">
        <v>510</v>
      </c>
      <c r="D97" s="101"/>
      <c r="E97" s="101"/>
      <c r="F97" s="101"/>
      <c r="G97" s="101" t="s">
        <v>6</v>
      </c>
      <c r="H97" s="275">
        <v>17.5</v>
      </c>
      <c r="I97" s="276"/>
      <c r="J97" s="273"/>
      <c r="K97" s="273">
        <f t="shared" ref="K97:K98" si="18">H97</f>
        <v>17.5</v>
      </c>
      <c r="L97" s="273"/>
      <c r="M97" s="273"/>
      <c r="N97" s="273"/>
      <c r="O97" s="101"/>
      <c r="P97" s="101"/>
    </row>
    <row r="98" spans="1:16" x14ac:dyDescent="0.2">
      <c r="A98" s="265">
        <v>45217</v>
      </c>
      <c r="B98" s="101" t="s">
        <v>127</v>
      </c>
      <c r="C98" s="101" t="s">
        <v>509</v>
      </c>
      <c r="D98" s="101"/>
      <c r="E98" s="101"/>
      <c r="F98" s="101"/>
      <c r="G98" s="101" t="s">
        <v>6</v>
      </c>
      <c r="H98" s="275">
        <v>17.5</v>
      </c>
      <c r="I98" s="276"/>
      <c r="J98" s="273"/>
      <c r="K98" s="273">
        <f t="shared" si="18"/>
        <v>17.5</v>
      </c>
      <c r="L98" s="273"/>
      <c r="M98" s="273"/>
      <c r="N98" s="273"/>
      <c r="O98" s="101"/>
      <c r="P98" s="101"/>
    </row>
    <row r="99" spans="1:16" x14ac:dyDescent="0.2">
      <c r="A99" s="265">
        <v>45219</v>
      </c>
      <c r="B99" s="101" t="s">
        <v>104</v>
      </c>
      <c r="C99" s="101" t="s">
        <v>511</v>
      </c>
      <c r="D99" s="101">
        <v>3505005</v>
      </c>
      <c r="E99" s="101" t="s">
        <v>114</v>
      </c>
      <c r="F99" s="101"/>
      <c r="G99" s="101" t="s">
        <v>50</v>
      </c>
      <c r="H99" s="275"/>
      <c r="I99" s="276">
        <v>84.4</v>
      </c>
      <c r="J99" s="101"/>
      <c r="K99" s="101"/>
      <c r="L99" s="101"/>
      <c r="M99" s="269">
        <f t="shared" ref="M99:M100" si="19">I99</f>
        <v>84.4</v>
      </c>
      <c r="N99" s="101"/>
      <c r="O99" s="101"/>
      <c r="P99" s="101"/>
    </row>
    <row r="100" spans="1:16" x14ac:dyDescent="0.2">
      <c r="A100" s="265">
        <v>45219</v>
      </c>
      <c r="B100" s="101" t="s">
        <v>443</v>
      </c>
      <c r="C100" s="101" t="s">
        <v>558</v>
      </c>
      <c r="D100" s="101">
        <v>15507</v>
      </c>
      <c r="E100" s="101" t="s">
        <v>114</v>
      </c>
      <c r="F100" s="101" t="s">
        <v>601</v>
      </c>
      <c r="G100" s="101" t="s">
        <v>57</v>
      </c>
      <c r="H100" s="275"/>
      <c r="I100" s="276">
        <v>597.6</v>
      </c>
      <c r="J100" s="101"/>
      <c r="K100" s="101"/>
      <c r="L100" s="101"/>
      <c r="M100" s="269">
        <f t="shared" si="19"/>
        <v>597.6</v>
      </c>
      <c r="N100" s="101"/>
      <c r="O100" s="101"/>
      <c r="P100" s="101"/>
    </row>
    <row r="101" spans="1:16" x14ac:dyDescent="0.2">
      <c r="A101" s="265">
        <v>45223</v>
      </c>
      <c r="B101" s="101" t="s">
        <v>127</v>
      </c>
      <c r="C101" s="101" t="s">
        <v>516</v>
      </c>
      <c r="D101" s="101" t="s">
        <v>249</v>
      </c>
      <c r="E101" s="101" t="s">
        <v>114</v>
      </c>
      <c r="F101" s="101"/>
      <c r="G101" s="101" t="s">
        <v>6</v>
      </c>
      <c r="H101" s="275">
        <v>35</v>
      </c>
      <c r="I101" s="276"/>
      <c r="J101" s="273"/>
      <c r="K101" s="273">
        <f t="shared" ref="K101:K102" si="20">H101</f>
        <v>35</v>
      </c>
      <c r="L101" s="273"/>
      <c r="M101" s="273"/>
      <c r="N101" s="273"/>
      <c r="O101" s="101"/>
      <c r="P101" s="101"/>
    </row>
    <row r="102" spans="1:16" x14ac:dyDescent="0.2">
      <c r="A102" s="265">
        <v>45225</v>
      </c>
      <c r="B102" s="101" t="s">
        <v>127</v>
      </c>
      <c r="C102" s="101" t="s">
        <v>512</v>
      </c>
      <c r="D102" s="101" t="s">
        <v>249</v>
      </c>
      <c r="E102" s="101" t="s">
        <v>114</v>
      </c>
      <c r="F102" s="101"/>
      <c r="G102" s="101" t="s">
        <v>8</v>
      </c>
      <c r="H102" s="275">
        <v>9000</v>
      </c>
      <c r="I102" s="276"/>
      <c r="J102" s="273"/>
      <c r="K102" s="273">
        <f t="shared" si="20"/>
        <v>9000</v>
      </c>
      <c r="L102" s="273"/>
      <c r="M102" s="273"/>
      <c r="N102" s="273"/>
      <c r="O102" s="101"/>
      <c r="P102" s="101"/>
    </row>
    <row r="103" spans="1:16" x14ac:dyDescent="0.2">
      <c r="A103" s="265">
        <v>45226</v>
      </c>
      <c r="B103" s="101" t="s">
        <v>513</v>
      </c>
      <c r="C103" s="101" t="s">
        <v>561</v>
      </c>
      <c r="D103" s="101" t="s">
        <v>332</v>
      </c>
      <c r="E103" s="101" t="s">
        <v>114</v>
      </c>
      <c r="F103" s="101"/>
      <c r="G103" s="101" t="s">
        <v>165</v>
      </c>
      <c r="H103" s="275"/>
      <c r="I103" s="276">
        <v>238.55</v>
      </c>
      <c r="J103" s="101"/>
      <c r="K103" s="101"/>
      <c r="L103" s="101"/>
      <c r="M103" s="269">
        <f t="shared" ref="M103:M106" si="21">I103</f>
        <v>238.55</v>
      </c>
      <c r="N103" s="101"/>
      <c r="O103" s="101"/>
      <c r="P103" s="101"/>
    </row>
    <row r="104" spans="1:16" x14ac:dyDescent="0.2">
      <c r="A104" s="265">
        <v>45226</v>
      </c>
      <c r="B104" s="101" t="s">
        <v>463</v>
      </c>
      <c r="C104" s="101" t="s">
        <v>514</v>
      </c>
      <c r="D104" s="101">
        <v>16205</v>
      </c>
      <c r="E104" s="101"/>
      <c r="F104" s="101"/>
      <c r="G104" s="101" t="s">
        <v>106</v>
      </c>
      <c r="H104" s="275"/>
      <c r="I104" s="276">
        <v>342</v>
      </c>
      <c r="J104" s="101"/>
      <c r="K104" s="101"/>
      <c r="L104" s="101"/>
      <c r="M104" s="269">
        <f t="shared" si="21"/>
        <v>342</v>
      </c>
      <c r="N104" s="101"/>
      <c r="O104" s="101"/>
      <c r="P104" s="101"/>
    </row>
    <row r="105" spans="1:16" x14ac:dyDescent="0.2">
      <c r="A105" s="265">
        <v>45226</v>
      </c>
      <c r="B105" s="101" t="s">
        <v>513</v>
      </c>
      <c r="C105" s="101" t="s">
        <v>562</v>
      </c>
      <c r="D105" s="101" t="s">
        <v>332</v>
      </c>
      <c r="E105" s="101" t="s">
        <v>114</v>
      </c>
      <c r="F105" s="101" t="s">
        <v>601</v>
      </c>
      <c r="G105" s="101" t="s">
        <v>165</v>
      </c>
      <c r="H105" s="275"/>
      <c r="I105" s="276">
        <v>24.42</v>
      </c>
      <c r="J105" s="101"/>
      <c r="K105" s="101"/>
      <c r="L105" s="101"/>
      <c r="M105" s="269">
        <f t="shared" si="21"/>
        <v>24.42</v>
      </c>
      <c r="N105" s="101"/>
      <c r="O105" s="101"/>
      <c r="P105" s="101"/>
    </row>
    <row r="106" spans="1:16" x14ac:dyDescent="0.2">
      <c r="A106" s="265">
        <v>45226</v>
      </c>
      <c r="B106" s="101" t="s">
        <v>145</v>
      </c>
      <c r="C106" s="101" t="s">
        <v>515</v>
      </c>
      <c r="D106" s="101">
        <v>8229</v>
      </c>
      <c r="E106" s="101" t="s">
        <v>114</v>
      </c>
      <c r="F106" s="101" t="s">
        <v>601</v>
      </c>
      <c r="G106" s="101" t="s">
        <v>74</v>
      </c>
      <c r="H106" s="275"/>
      <c r="I106" s="276">
        <v>13668</v>
      </c>
      <c r="J106" s="101"/>
      <c r="K106" s="101"/>
      <c r="L106" s="101"/>
      <c r="M106" s="269">
        <f t="shared" si="21"/>
        <v>13668</v>
      </c>
      <c r="N106" s="101"/>
      <c r="O106" s="101"/>
      <c r="P106" s="101"/>
    </row>
    <row r="107" spans="1:16" x14ac:dyDescent="0.2">
      <c r="A107" s="265">
        <v>45229</v>
      </c>
      <c r="B107" s="101" t="s">
        <v>127</v>
      </c>
      <c r="C107" s="101" t="s">
        <v>517</v>
      </c>
      <c r="D107" s="101" t="s">
        <v>249</v>
      </c>
      <c r="E107" s="101"/>
      <c r="F107" s="101"/>
      <c r="G107" s="101" t="s">
        <v>6</v>
      </c>
      <c r="H107" s="275">
        <v>17.5</v>
      </c>
      <c r="I107" s="276"/>
      <c r="J107" s="273"/>
      <c r="K107" s="273">
        <f t="shared" ref="K107:K108" si="22">H107</f>
        <v>17.5</v>
      </c>
      <c r="L107" s="273"/>
      <c r="M107" s="273"/>
      <c r="N107" s="273"/>
      <c r="O107" s="101"/>
      <c r="P107" s="101"/>
    </row>
    <row r="108" spans="1:16" x14ac:dyDescent="0.2">
      <c r="A108" s="265">
        <v>45229</v>
      </c>
      <c r="B108" s="101" t="s">
        <v>127</v>
      </c>
      <c r="C108" s="101" t="s">
        <v>518</v>
      </c>
      <c r="D108" s="101" t="s">
        <v>249</v>
      </c>
      <c r="E108" s="101"/>
      <c r="F108" s="101"/>
      <c r="G108" s="101" t="s">
        <v>6</v>
      </c>
      <c r="H108" s="275">
        <v>17.5</v>
      </c>
      <c r="I108" s="276"/>
      <c r="J108" s="273"/>
      <c r="K108" s="273">
        <f t="shared" si="22"/>
        <v>17.5</v>
      </c>
      <c r="L108" s="273"/>
      <c r="M108" s="273"/>
      <c r="N108" s="273"/>
      <c r="O108" s="101"/>
      <c r="P108" s="101"/>
    </row>
    <row r="109" spans="1:16" x14ac:dyDescent="0.2">
      <c r="A109" s="265">
        <v>45230</v>
      </c>
      <c r="B109" s="101" t="s">
        <v>513</v>
      </c>
      <c r="C109" s="101" t="s">
        <v>563</v>
      </c>
      <c r="D109" s="101" t="s">
        <v>332</v>
      </c>
      <c r="E109" s="101" t="s">
        <v>114</v>
      </c>
      <c r="F109" s="101" t="s">
        <v>601</v>
      </c>
      <c r="G109" s="101" t="s">
        <v>165</v>
      </c>
      <c r="H109" s="275"/>
      <c r="I109" s="276">
        <v>80.83</v>
      </c>
      <c r="J109" s="101"/>
      <c r="K109" s="101"/>
      <c r="L109" s="101"/>
      <c r="M109" s="269">
        <f t="shared" ref="M109:M112" si="23">I109</f>
        <v>80.83</v>
      </c>
      <c r="N109" s="101"/>
      <c r="O109" s="101"/>
      <c r="P109" s="101"/>
    </row>
    <row r="110" spans="1:16" x14ac:dyDescent="0.2">
      <c r="A110" s="265">
        <v>45230</v>
      </c>
      <c r="B110" s="101" t="s">
        <v>396</v>
      </c>
      <c r="C110" s="101" t="s">
        <v>519</v>
      </c>
      <c r="D110" s="101" t="s">
        <v>332</v>
      </c>
      <c r="E110" s="101" t="s">
        <v>114</v>
      </c>
      <c r="F110" s="101" t="s">
        <v>601</v>
      </c>
      <c r="G110" s="101" t="s">
        <v>165</v>
      </c>
      <c r="H110" s="275"/>
      <c r="I110" s="276">
        <v>117.07</v>
      </c>
      <c r="J110" s="101"/>
      <c r="K110" s="101"/>
      <c r="L110" s="101"/>
      <c r="M110" s="269">
        <f t="shared" si="23"/>
        <v>117.07</v>
      </c>
      <c r="N110" s="101"/>
      <c r="O110" s="101"/>
      <c r="P110" s="101"/>
    </row>
    <row r="111" spans="1:16" x14ac:dyDescent="0.2">
      <c r="A111" s="265">
        <v>45230</v>
      </c>
      <c r="B111" s="101" t="s">
        <v>322</v>
      </c>
      <c r="C111" s="101" t="s">
        <v>520</v>
      </c>
      <c r="D111" s="101">
        <v>897</v>
      </c>
      <c r="E111" s="101" t="s">
        <v>114</v>
      </c>
      <c r="F111" s="101" t="s">
        <v>601</v>
      </c>
      <c r="G111" s="101" t="s">
        <v>64</v>
      </c>
      <c r="H111" s="275"/>
      <c r="I111" s="276">
        <v>1020</v>
      </c>
      <c r="J111" s="101"/>
      <c r="K111" s="101"/>
      <c r="L111" s="101"/>
      <c r="M111" s="269">
        <f t="shared" si="23"/>
        <v>1020</v>
      </c>
      <c r="N111" s="101"/>
      <c r="O111" s="101"/>
      <c r="P111" s="101"/>
    </row>
    <row r="112" spans="1:16" x14ac:dyDescent="0.2">
      <c r="A112" s="265">
        <v>45230</v>
      </c>
      <c r="B112" s="101" t="s">
        <v>521</v>
      </c>
      <c r="C112" s="101" t="s">
        <v>522</v>
      </c>
      <c r="D112" s="101">
        <v>32286</v>
      </c>
      <c r="E112" s="101" t="s">
        <v>114</v>
      </c>
      <c r="F112" s="101" t="s">
        <v>601</v>
      </c>
      <c r="G112" s="101" t="s">
        <v>40</v>
      </c>
      <c r="H112" s="275"/>
      <c r="I112" s="276">
        <v>210</v>
      </c>
      <c r="J112" s="101"/>
      <c r="K112" s="101"/>
      <c r="L112" s="101"/>
      <c r="M112" s="269">
        <f t="shared" si="23"/>
        <v>210</v>
      </c>
      <c r="N112" s="101"/>
      <c r="O112" s="101"/>
      <c r="P112" s="101"/>
    </row>
    <row r="113" spans="1:16" x14ac:dyDescent="0.2">
      <c r="A113" s="265">
        <v>45236</v>
      </c>
      <c r="B113" s="101" t="s">
        <v>127</v>
      </c>
      <c r="C113" s="101" t="s">
        <v>525</v>
      </c>
      <c r="D113" s="101" t="s">
        <v>249</v>
      </c>
      <c r="E113" s="101" t="s">
        <v>114</v>
      </c>
      <c r="F113" s="101"/>
      <c r="G113" s="101" t="s">
        <v>9</v>
      </c>
      <c r="H113" s="275">
        <v>50.71</v>
      </c>
      <c r="I113" s="276"/>
      <c r="J113" s="273"/>
      <c r="K113" s="273">
        <f>H113</f>
        <v>50.71</v>
      </c>
      <c r="L113" s="273"/>
      <c r="M113" s="273"/>
      <c r="N113" s="273"/>
      <c r="O113" s="101"/>
      <c r="P113" s="101"/>
    </row>
    <row r="114" spans="1:16" x14ac:dyDescent="0.2">
      <c r="A114" s="265">
        <v>45244</v>
      </c>
      <c r="B114" s="101" t="s">
        <v>531</v>
      </c>
      <c r="C114" s="101" t="s">
        <v>530</v>
      </c>
      <c r="D114" s="101"/>
      <c r="E114" s="101"/>
      <c r="F114" s="101"/>
      <c r="G114" s="101" t="s">
        <v>13</v>
      </c>
      <c r="H114" s="275"/>
      <c r="I114" s="276">
        <v>62.16</v>
      </c>
      <c r="J114" s="101"/>
      <c r="K114" s="101"/>
      <c r="L114" s="269">
        <f t="shared" ref="L114:L115" si="24">I114</f>
        <v>62.16</v>
      </c>
      <c r="M114" s="101"/>
      <c r="N114" s="101"/>
      <c r="O114" s="101"/>
      <c r="P114" s="101"/>
    </row>
    <row r="115" spans="1:16" x14ac:dyDescent="0.2">
      <c r="A115" s="265">
        <v>45244</v>
      </c>
      <c r="B115" s="101" t="s">
        <v>532</v>
      </c>
      <c r="C115" s="101" t="s">
        <v>530</v>
      </c>
      <c r="D115" s="101"/>
      <c r="E115" s="101"/>
      <c r="F115" s="101"/>
      <c r="G115" s="101" t="s">
        <v>13</v>
      </c>
      <c r="H115" s="275"/>
      <c r="I115" s="276">
        <v>248.36</v>
      </c>
      <c r="J115" s="101"/>
      <c r="K115" s="101"/>
      <c r="L115" s="269">
        <f t="shared" si="24"/>
        <v>248.36</v>
      </c>
      <c r="M115" s="101"/>
      <c r="N115" s="101"/>
      <c r="O115" s="101"/>
      <c r="P115" s="101"/>
    </row>
    <row r="116" spans="1:16" x14ac:dyDescent="0.2">
      <c r="A116" s="265">
        <v>45244</v>
      </c>
      <c r="B116" s="101" t="s">
        <v>532</v>
      </c>
      <c r="C116" s="101" t="s">
        <v>533</v>
      </c>
      <c r="D116" s="101"/>
      <c r="E116" s="101"/>
      <c r="F116" s="101"/>
      <c r="G116" s="101" t="s">
        <v>19</v>
      </c>
      <c r="H116" s="275"/>
      <c r="I116" s="276">
        <v>1.1299999999999999</v>
      </c>
      <c r="J116" s="101"/>
      <c r="K116" s="101"/>
      <c r="L116" s="101"/>
      <c r="M116" s="269">
        <f>I116</f>
        <v>1.1299999999999999</v>
      </c>
      <c r="N116" s="101"/>
      <c r="O116" s="101"/>
      <c r="P116" s="101"/>
    </row>
    <row r="117" spans="1:16" x14ac:dyDescent="0.2">
      <c r="A117" s="265">
        <v>45244</v>
      </c>
      <c r="B117" s="101" t="s">
        <v>531</v>
      </c>
      <c r="C117" s="101" t="s">
        <v>534</v>
      </c>
      <c r="D117" s="101"/>
      <c r="E117" s="101"/>
      <c r="F117" s="101"/>
      <c r="G117" s="101" t="s">
        <v>17</v>
      </c>
      <c r="H117" s="275"/>
      <c r="I117" s="276">
        <v>26.64</v>
      </c>
      <c r="J117" s="101"/>
      <c r="K117" s="101"/>
      <c r="L117" s="269">
        <f t="shared" ref="L117:L118" si="25">I117</f>
        <v>26.64</v>
      </c>
      <c r="M117" s="101"/>
      <c r="N117" s="101"/>
      <c r="O117" s="101"/>
      <c r="P117" s="101"/>
    </row>
    <row r="118" spans="1:16" x14ac:dyDescent="0.2">
      <c r="A118" s="265">
        <v>45244</v>
      </c>
      <c r="B118" s="101" t="s">
        <v>532</v>
      </c>
      <c r="C118" s="101" t="s">
        <v>535</v>
      </c>
      <c r="D118" s="101"/>
      <c r="E118" s="101"/>
      <c r="F118" s="101"/>
      <c r="G118" s="101" t="s">
        <v>17</v>
      </c>
      <c r="H118" s="275"/>
      <c r="I118" s="276">
        <v>106.44</v>
      </c>
      <c r="J118" s="101"/>
      <c r="K118" s="101"/>
      <c r="L118" s="269">
        <f t="shared" si="25"/>
        <v>106.44</v>
      </c>
      <c r="M118" s="101"/>
      <c r="N118" s="101"/>
      <c r="O118" s="101"/>
      <c r="P118" s="101"/>
    </row>
    <row r="119" spans="1:16" x14ac:dyDescent="0.2">
      <c r="A119" s="265">
        <v>45244</v>
      </c>
      <c r="B119" s="101" t="s">
        <v>101</v>
      </c>
      <c r="C119" s="101" t="s">
        <v>537</v>
      </c>
      <c r="D119" s="101" t="s">
        <v>538</v>
      </c>
      <c r="E119" s="101" t="s">
        <v>114</v>
      </c>
      <c r="F119" s="101"/>
      <c r="G119" s="101" t="s">
        <v>41</v>
      </c>
      <c r="H119" s="275"/>
      <c r="I119" s="276">
        <v>364.5</v>
      </c>
      <c r="J119" s="101"/>
      <c r="K119" s="101"/>
      <c r="L119" s="101"/>
      <c r="M119" s="269">
        <f t="shared" ref="M119:M131" si="26">I119</f>
        <v>364.5</v>
      </c>
      <c r="N119" s="101"/>
      <c r="O119" s="101"/>
      <c r="P119" s="101"/>
    </row>
    <row r="120" spans="1:16" x14ac:dyDescent="0.2">
      <c r="A120" s="265">
        <v>45244</v>
      </c>
      <c r="B120" s="101" t="s">
        <v>271</v>
      </c>
      <c r="C120" s="101" t="s">
        <v>539</v>
      </c>
      <c r="D120" s="101">
        <v>7112023</v>
      </c>
      <c r="E120" s="101" t="s">
        <v>114</v>
      </c>
      <c r="F120" s="101" t="s">
        <v>601</v>
      </c>
      <c r="G120" s="101" t="s">
        <v>159</v>
      </c>
      <c r="H120" s="275"/>
      <c r="I120" s="276">
        <v>150</v>
      </c>
      <c r="J120" s="101"/>
      <c r="K120" s="101"/>
      <c r="L120" s="101"/>
      <c r="M120" s="269">
        <f t="shared" si="26"/>
        <v>150</v>
      </c>
      <c r="N120" s="101"/>
      <c r="O120" s="101"/>
      <c r="P120" s="101"/>
    </row>
    <row r="121" spans="1:16" x14ac:dyDescent="0.2">
      <c r="A121" s="265">
        <v>45244</v>
      </c>
      <c r="B121" s="101" t="s">
        <v>103</v>
      </c>
      <c r="C121" s="101" t="s">
        <v>541</v>
      </c>
      <c r="D121" s="101" t="s">
        <v>332</v>
      </c>
      <c r="E121" s="101" t="s">
        <v>114</v>
      </c>
      <c r="F121" s="101" t="s">
        <v>601</v>
      </c>
      <c r="G121" s="101" t="s">
        <v>19</v>
      </c>
      <c r="H121" s="275"/>
      <c r="I121" s="276">
        <v>33.97</v>
      </c>
      <c r="J121" s="101"/>
      <c r="K121" s="101"/>
      <c r="L121" s="101"/>
      <c r="M121" s="269">
        <f t="shared" si="26"/>
        <v>33.97</v>
      </c>
      <c r="N121" s="101"/>
      <c r="O121" s="101"/>
      <c r="P121" s="101"/>
    </row>
    <row r="122" spans="1:16" x14ac:dyDescent="0.2">
      <c r="A122" s="265">
        <v>45244</v>
      </c>
      <c r="B122" s="101" t="s">
        <v>540</v>
      </c>
      <c r="C122" s="101" t="s">
        <v>462</v>
      </c>
      <c r="D122" s="101" t="s">
        <v>259</v>
      </c>
      <c r="E122" s="101" t="s">
        <v>114</v>
      </c>
      <c r="F122" s="101"/>
      <c r="G122" s="101" t="s">
        <v>106</v>
      </c>
      <c r="H122" s="275"/>
      <c r="I122" s="276">
        <v>37.5</v>
      </c>
      <c r="J122" s="101"/>
      <c r="K122" s="101"/>
      <c r="L122" s="101"/>
      <c r="M122" s="269">
        <f t="shared" si="26"/>
        <v>37.5</v>
      </c>
      <c r="N122" s="101"/>
      <c r="O122" s="101"/>
      <c r="P122" s="101"/>
    </row>
    <row r="123" spans="1:16" x14ac:dyDescent="0.2">
      <c r="A123" s="265">
        <v>45244</v>
      </c>
      <c r="B123" s="101" t="s">
        <v>443</v>
      </c>
      <c r="C123" s="101" t="s">
        <v>559</v>
      </c>
      <c r="D123" s="101">
        <v>15597</v>
      </c>
      <c r="E123" s="101" t="s">
        <v>114</v>
      </c>
      <c r="F123" s="101" t="s">
        <v>601</v>
      </c>
      <c r="G123" s="101" t="s">
        <v>57</v>
      </c>
      <c r="H123" s="275"/>
      <c r="I123" s="276">
        <v>453.6</v>
      </c>
      <c r="J123" s="101"/>
      <c r="K123" s="101"/>
      <c r="L123" s="101"/>
      <c r="M123" s="269">
        <f t="shared" si="26"/>
        <v>453.6</v>
      </c>
      <c r="N123" s="101"/>
      <c r="O123" s="101"/>
      <c r="P123" s="101"/>
    </row>
    <row r="124" spans="1:16" x14ac:dyDescent="0.2">
      <c r="A124" s="265">
        <v>45275</v>
      </c>
      <c r="B124" s="101" t="s">
        <v>513</v>
      </c>
      <c r="C124" s="101" t="s">
        <v>548</v>
      </c>
      <c r="D124" s="101" t="s">
        <v>332</v>
      </c>
      <c r="E124" s="101" t="s">
        <v>114</v>
      </c>
      <c r="F124" s="101"/>
      <c r="G124" s="101" t="s">
        <v>165</v>
      </c>
      <c r="H124" s="275"/>
      <c r="I124" s="276">
        <v>200</v>
      </c>
      <c r="J124" s="101"/>
      <c r="K124" s="101"/>
      <c r="L124" s="101"/>
      <c r="M124" s="269">
        <f t="shared" si="26"/>
        <v>200</v>
      </c>
      <c r="N124" s="101"/>
      <c r="O124" s="101"/>
      <c r="P124" s="101"/>
    </row>
    <row r="125" spans="1:16" x14ac:dyDescent="0.2">
      <c r="A125" s="265">
        <v>45275</v>
      </c>
      <c r="B125" s="101" t="s">
        <v>513</v>
      </c>
      <c r="C125" s="101" t="s">
        <v>549</v>
      </c>
      <c r="D125" s="101" t="s">
        <v>332</v>
      </c>
      <c r="E125" s="101" t="s">
        <v>114</v>
      </c>
      <c r="F125" s="101" t="s">
        <v>601</v>
      </c>
      <c r="G125" s="101" t="s">
        <v>165</v>
      </c>
      <c r="H125" s="275"/>
      <c r="I125" s="276">
        <v>92.65</v>
      </c>
      <c r="J125" s="101"/>
      <c r="K125" s="101"/>
      <c r="L125" s="101"/>
      <c r="M125" s="269">
        <f t="shared" si="26"/>
        <v>92.65</v>
      </c>
      <c r="N125" s="101"/>
      <c r="O125" s="101"/>
      <c r="P125" s="101"/>
    </row>
    <row r="126" spans="1:16" x14ac:dyDescent="0.2">
      <c r="A126" s="265">
        <v>45275</v>
      </c>
      <c r="B126" s="101" t="s">
        <v>550</v>
      </c>
      <c r="C126" s="101" t="s">
        <v>551</v>
      </c>
      <c r="D126" s="101">
        <v>32375</v>
      </c>
      <c r="E126" s="101"/>
      <c r="F126" s="101" t="s">
        <v>601</v>
      </c>
      <c r="G126" s="101" t="s">
        <v>40</v>
      </c>
      <c r="H126" s="275"/>
      <c r="I126" s="276">
        <v>576</v>
      </c>
      <c r="J126" s="101"/>
      <c r="K126" s="101"/>
      <c r="L126" s="101"/>
      <c r="M126" s="269">
        <f t="shared" si="26"/>
        <v>576</v>
      </c>
      <c r="N126" s="101"/>
      <c r="O126" s="101"/>
      <c r="P126" s="101"/>
    </row>
    <row r="127" spans="1:16" x14ac:dyDescent="0.2">
      <c r="A127" s="265">
        <v>45275</v>
      </c>
      <c r="B127" s="101" t="s">
        <v>265</v>
      </c>
      <c r="C127" s="101" t="s">
        <v>557</v>
      </c>
      <c r="D127" s="101" t="s">
        <v>259</v>
      </c>
      <c r="E127" s="101" t="s">
        <v>114</v>
      </c>
      <c r="F127" s="101"/>
      <c r="G127" s="101" t="s">
        <v>69</v>
      </c>
      <c r="H127" s="275"/>
      <c r="I127" s="276">
        <v>13.21</v>
      </c>
      <c r="J127" s="101"/>
      <c r="K127" s="101"/>
      <c r="L127" s="101"/>
      <c r="M127" s="269">
        <f t="shared" si="26"/>
        <v>13.21</v>
      </c>
      <c r="N127" s="101"/>
      <c r="O127" s="101"/>
      <c r="P127" s="101"/>
    </row>
    <row r="128" spans="1:16" x14ac:dyDescent="0.2">
      <c r="A128" s="265">
        <v>45275</v>
      </c>
      <c r="B128" s="101" t="s">
        <v>241</v>
      </c>
      <c r="C128" s="101" t="s">
        <v>553</v>
      </c>
      <c r="D128" s="101" t="s">
        <v>259</v>
      </c>
      <c r="E128" s="101" t="s">
        <v>114</v>
      </c>
      <c r="F128" s="101"/>
      <c r="G128" s="101" t="s">
        <v>159</v>
      </c>
      <c r="H128" s="275"/>
      <c r="I128" s="276">
        <v>50</v>
      </c>
      <c r="J128" s="101"/>
      <c r="K128" s="101"/>
      <c r="L128" s="101"/>
      <c r="M128" s="269">
        <f t="shared" si="26"/>
        <v>50</v>
      </c>
      <c r="N128" s="101"/>
      <c r="O128" s="101"/>
      <c r="P128" s="101"/>
    </row>
    <row r="129" spans="1:16" x14ac:dyDescent="0.2">
      <c r="A129" s="265">
        <v>45275</v>
      </c>
      <c r="B129" s="101" t="s">
        <v>241</v>
      </c>
      <c r="C129" s="101" t="s">
        <v>554</v>
      </c>
      <c r="D129" s="101" t="s">
        <v>259</v>
      </c>
      <c r="E129" s="101" t="s">
        <v>114</v>
      </c>
      <c r="F129" s="101"/>
      <c r="G129" s="101" t="s">
        <v>159</v>
      </c>
      <c r="H129" s="275"/>
      <c r="I129" s="276">
        <v>65</v>
      </c>
      <c r="J129" s="101"/>
      <c r="K129" s="101"/>
      <c r="L129" s="101"/>
      <c r="M129" s="269">
        <f t="shared" si="26"/>
        <v>65</v>
      </c>
      <c r="N129" s="101"/>
      <c r="O129" s="101"/>
      <c r="P129" s="101"/>
    </row>
    <row r="130" spans="1:16" x14ac:dyDescent="0.2">
      <c r="A130" s="265">
        <v>45275</v>
      </c>
      <c r="B130" s="101" t="s">
        <v>241</v>
      </c>
      <c r="C130" s="101" t="s">
        <v>555</v>
      </c>
      <c r="D130" s="101" t="s">
        <v>259</v>
      </c>
      <c r="E130" s="101" t="s">
        <v>114</v>
      </c>
      <c r="F130" s="101" t="s">
        <v>601</v>
      </c>
      <c r="G130" s="101" t="s">
        <v>159</v>
      </c>
      <c r="H130" s="275"/>
      <c r="I130" s="276">
        <v>18.64</v>
      </c>
      <c r="J130" s="101"/>
      <c r="K130" s="101"/>
      <c r="L130" s="101"/>
      <c r="M130" s="269">
        <f t="shared" si="26"/>
        <v>18.64</v>
      </c>
      <c r="N130" s="101"/>
      <c r="O130" s="101"/>
      <c r="P130" s="101"/>
    </row>
    <row r="131" spans="1:16" x14ac:dyDescent="0.2">
      <c r="A131" s="265">
        <v>45275</v>
      </c>
      <c r="B131" s="101" t="s">
        <v>552</v>
      </c>
      <c r="C131" s="101" t="s">
        <v>541</v>
      </c>
      <c r="D131" s="101" t="s">
        <v>332</v>
      </c>
      <c r="E131" s="101" t="s">
        <v>114</v>
      </c>
      <c r="F131" s="101" t="s">
        <v>601</v>
      </c>
      <c r="G131" s="101" t="s">
        <v>19</v>
      </c>
      <c r="H131" s="275"/>
      <c r="I131" s="276">
        <v>12.6</v>
      </c>
      <c r="J131" s="101"/>
      <c r="K131" s="101"/>
      <c r="L131" s="101"/>
      <c r="M131" s="269">
        <f t="shared" si="26"/>
        <v>12.6</v>
      </c>
      <c r="N131" s="101"/>
      <c r="O131" s="101"/>
      <c r="P131" s="101"/>
    </row>
    <row r="132" spans="1:16" x14ac:dyDescent="0.2">
      <c r="A132" s="265">
        <v>45278</v>
      </c>
      <c r="B132" s="101" t="s">
        <v>127</v>
      </c>
      <c r="C132" s="101" t="s">
        <v>556</v>
      </c>
      <c r="D132" s="101" t="s">
        <v>259</v>
      </c>
      <c r="E132" s="101" t="s">
        <v>114</v>
      </c>
      <c r="F132" s="101"/>
      <c r="G132" s="101" t="s">
        <v>9</v>
      </c>
      <c r="H132" s="275">
        <v>74.22</v>
      </c>
      <c r="I132" s="276"/>
      <c r="J132" s="273"/>
      <c r="K132" s="273">
        <f>H132</f>
        <v>74.22</v>
      </c>
      <c r="L132" s="273"/>
      <c r="M132" s="273"/>
      <c r="N132" s="273"/>
      <c r="O132" s="101"/>
      <c r="P132" s="101"/>
    </row>
    <row r="133" spans="1:16" x14ac:dyDescent="0.2">
      <c r="A133" s="265">
        <v>45282</v>
      </c>
      <c r="B133" s="101" t="s">
        <v>543</v>
      </c>
      <c r="C133" s="101" t="s">
        <v>545</v>
      </c>
      <c r="D133" s="101"/>
      <c r="E133" s="101"/>
      <c r="F133" s="101"/>
      <c r="G133" s="101" t="s">
        <v>13</v>
      </c>
      <c r="H133" s="275"/>
      <c r="I133" s="276">
        <v>62.16</v>
      </c>
      <c r="J133" s="101"/>
      <c r="K133" s="101"/>
      <c r="L133" s="269">
        <f t="shared" ref="L133:L134" si="27">I133</f>
        <v>62.16</v>
      </c>
      <c r="M133" s="101"/>
      <c r="N133" s="101"/>
      <c r="O133" s="101"/>
      <c r="P133" s="101"/>
    </row>
    <row r="134" spans="1:16" x14ac:dyDescent="0.2">
      <c r="A134" s="265">
        <v>45282</v>
      </c>
      <c r="B134" s="101" t="s">
        <v>544</v>
      </c>
      <c r="C134" s="101" t="s">
        <v>545</v>
      </c>
      <c r="D134" s="101"/>
      <c r="E134" s="101"/>
      <c r="F134" s="101"/>
      <c r="G134" s="101" t="s">
        <v>13</v>
      </c>
      <c r="H134" s="275"/>
      <c r="I134" s="276">
        <v>248.36</v>
      </c>
      <c r="J134" s="101"/>
      <c r="K134" s="101"/>
      <c r="L134" s="269">
        <f t="shared" si="27"/>
        <v>248.36</v>
      </c>
      <c r="M134" s="101"/>
      <c r="N134" s="101"/>
      <c r="O134" s="101"/>
      <c r="P134" s="101"/>
    </row>
    <row r="135" spans="1:16" x14ac:dyDescent="0.2">
      <c r="A135" s="265">
        <v>45282</v>
      </c>
      <c r="B135" s="101" t="s">
        <v>544</v>
      </c>
      <c r="C135" s="101" t="s">
        <v>546</v>
      </c>
      <c r="D135" s="101"/>
      <c r="E135" s="101"/>
      <c r="F135" s="101"/>
      <c r="G135" s="101" t="s">
        <v>19</v>
      </c>
      <c r="H135" s="275"/>
      <c r="I135" s="276">
        <v>4.5</v>
      </c>
      <c r="J135" s="101"/>
      <c r="K135" s="101"/>
      <c r="L135" s="101"/>
      <c r="M135" s="269">
        <f>I135</f>
        <v>4.5</v>
      </c>
      <c r="N135" s="101"/>
      <c r="O135" s="101"/>
      <c r="P135" s="101"/>
    </row>
    <row r="136" spans="1:16" x14ac:dyDescent="0.2">
      <c r="A136" s="265">
        <v>45282</v>
      </c>
      <c r="B136" s="101" t="s">
        <v>543</v>
      </c>
      <c r="C136" s="101" t="s">
        <v>547</v>
      </c>
      <c r="D136" s="101"/>
      <c r="E136" s="101"/>
      <c r="F136" s="101"/>
      <c r="G136" s="101" t="s">
        <v>17</v>
      </c>
      <c r="H136" s="275"/>
      <c r="I136" s="276">
        <v>26.64</v>
      </c>
      <c r="J136" s="101"/>
      <c r="K136" s="101"/>
      <c r="L136" s="269">
        <f t="shared" ref="L136:L137" si="28">I136</f>
        <v>26.64</v>
      </c>
      <c r="M136" s="101"/>
      <c r="N136" s="101"/>
      <c r="O136" s="101"/>
      <c r="P136" s="101"/>
    </row>
    <row r="137" spans="1:16" x14ac:dyDescent="0.2">
      <c r="A137" s="265">
        <v>45282</v>
      </c>
      <c r="B137" s="101" t="s">
        <v>544</v>
      </c>
      <c r="C137" s="101" t="s">
        <v>547</v>
      </c>
      <c r="D137" s="101"/>
      <c r="E137" s="101"/>
      <c r="F137" s="101"/>
      <c r="G137" s="101" t="s">
        <v>17</v>
      </c>
      <c r="H137" s="275"/>
      <c r="I137" s="276">
        <v>106.44</v>
      </c>
      <c r="J137" s="101"/>
      <c r="K137" s="101"/>
      <c r="L137" s="269">
        <f t="shared" si="28"/>
        <v>106.44</v>
      </c>
      <c r="M137" s="101"/>
      <c r="N137" s="101"/>
      <c r="O137" s="101"/>
      <c r="P137" s="101"/>
    </row>
    <row r="138" spans="1:16" x14ac:dyDescent="0.2">
      <c r="A138" s="265">
        <v>45282</v>
      </c>
      <c r="B138" s="101" t="s">
        <v>482</v>
      </c>
      <c r="C138" s="101" t="s">
        <v>564</v>
      </c>
      <c r="D138" s="101">
        <v>12</v>
      </c>
      <c r="E138" s="101" t="s">
        <v>114</v>
      </c>
      <c r="F138" s="101"/>
      <c r="G138" s="101" t="s">
        <v>165</v>
      </c>
      <c r="H138" s="275"/>
      <c r="I138" s="276">
        <v>20</v>
      </c>
      <c r="J138" s="101"/>
      <c r="K138" s="101"/>
      <c r="L138" s="101"/>
      <c r="M138" s="269">
        <f>I138</f>
        <v>20</v>
      </c>
      <c r="N138" s="101"/>
      <c r="O138" s="101"/>
      <c r="P138" s="101"/>
    </row>
    <row r="139" spans="1:16" x14ac:dyDescent="0.2">
      <c r="A139" s="265">
        <v>45299</v>
      </c>
      <c r="B139" s="101" t="s">
        <v>127</v>
      </c>
      <c r="C139" s="101" t="s">
        <v>567</v>
      </c>
      <c r="D139" s="101" t="s">
        <v>565</v>
      </c>
      <c r="E139" s="101" t="s">
        <v>114</v>
      </c>
      <c r="F139" s="101"/>
      <c r="G139" s="101" t="s">
        <v>9</v>
      </c>
      <c r="H139" s="275">
        <v>55</v>
      </c>
      <c r="I139" s="276"/>
      <c r="J139" s="273"/>
      <c r="K139" s="273">
        <f>H139</f>
        <v>55</v>
      </c>
      <c r="L139" s="273"/>
      <c r="M139" s="273"/>
      <c r="N139" s="273"/>
      <c r="O139" s="101"/>
      <c r="P139" s="101"/>
    </row>
    <row r="140" spans="1:16" x14ac:dyDescent="0.2">
      <c r="A140" s="265">
        <v>45299</v>
      </c>
      <c r="B140" s="101" t="s">
        <v>566</v>
      </c>
      <c r="C140" s="101" t="s">
        <v>568</v>
      </c>
      <c r="D140" s="101"/>
      <c r="E140" s="101" t="s">
        <v>114</v>
      </c>
      <c r="F140" s="101"/>
      <c r="G140" s="101" t="s">
        <v>159</v>
      </c>
      <c r="H140" s="275"/>
      <c r="I140" s="276">
        <v>6.2</v>
      </c>
      <c r="J140" s="101"/>
      <c r="K140" s="101"/>
      <c r="L140" s="101"/>
      <c r="M140" s="269">
        <f t="shared" ref="M140:M141" si="29">I140</f>
        <v>6.2</v>
      </c>
      <c r="N140" s="101"/>
      <c r="O140" s="101"/>
      <c r="P140" s="101"/>
    </row>
    <row r="141" spans="1:16" x14ac:dyDescent="0.2">
      <c r="A141" s="265">
        <v>45303</v>
      </c>
      <c r="B141" s="101" t="s">
        <v>265</v>
      </c>
      <c r="C141" s="101" t="s">
        <v>570</v>
      </c>
      <c r="D141" s="101" t="s">
        <v>259</v>
      </c>
      <c r="E141" s="101" t="s">
        <v>114</v>
      </c>
      <c r="F141" s="101"/>
      <c r="G141" s="101" t="s">
        <v>157</v>
      </c>
      <c r="H141" s="275"/>
      <c r="I141" s="276">
        <v>52.15</v>
      </c>
      <c r="J141" s="101"/>
      <c r="K141" s="101"/>
      <c r="L141" s="101"/>
      <c r="M141" s="269">
        <f t="shared" si="29"/>
        <v>52.15</v>
      </c>
      <c r="N141" s="101"/>
      <c r="O141" s="101"/>
      <c r="P141" s="101"/>
    </row>
    <row r="142" spans="1:16" x14ac:dyDescent="0.2">
      <c r="A142" s="265">
        <v>45307</v>
      </c>
      <c r="B142" s="101" t="s">
        <v>572</v>
      </c>
      <c r="C142" s="101" t="s">
        <v>573</v>
      </c>
      <c r="D142" s="101"/>
      <c r="E142" s="101"/>
      <c r="F142" s="101"/>
      <c r="G142" s="101" t="s">
        <v>13</v>
      </c>
      <c r="H142" s="275"/>
      <c r="I142" s="276">
        <v>62.02</v>
      </c>
      <c r="J142" s="101"/>
      <c r="K142" s="101"/>
      <c r="L142" s="269">
        <f t="shared" ref="L142:L143" si="30">I142</f>
        <v>62.02</v>
      </c>
      <c r="M142" s="101"/>
      <c r="N142" s="101"/>
      <c r="O142" s="101"/>
      <c r="P142" s="101"/>
    </row>
    <row r="143" spans="1:16" x14ac:dyDescent="0.2">
      <c r="A143" s="265">
        <v>45307</v>
      </c>
      <c r="B143" s="101" t="s">
        <v>571</v>
      </c>
      <c r="C143" s="101" t="s">
        <v>573</v>
      </c>
      <c r="D143" s="101"/>
      <c r="E143" s="101"/>
      <c r="F143" s="101"/>
      <c r="G143" s="101" t="s">
        <v>13</v>
      </c>
      <c r="H143" s="275"/>
      <c r="I143" s="276">
        <v>248.5</v>
      </c>
      <c r="J143" s="101"/>
      <c r="K143" s="101"/>
      <c r="L143" s="269">
        <f t="shared" si="30"/>
        <v>248.5</v>
      </c>
      <c r="M143" s="101"/>
      <c r="N143" s="101"/>
      <c r="O143" s="101"/>
      <c r="P143" s="101"/>
    </row>
    <row r="144" spans="1:16" x14ac:dyDescent="0.2">
      <c r="A144" s="265">
        <v>45307</v>
      </c>
      <c r="B144" s="101" t="s">
        <v>571</v>
      </c>
      <c r="C144" s="101" t="s">
        <v>574</v>
      </c>
      <c r="D144" s="101"/>
      <c r="E144" s="101"/>
      <c r="F144" s="101"/>
      <c r="G144" s="101" t="s">
        <v>19</v>
      </c>
      <c r="H144" s="275"/>
      <c r="I144" s="276">
        <v>0</v>
      </c>
      <c r="J144" s="101"/>
      <c r="K144" s="101"/>
      <c r="L144" s="101"/>
      <c r="M144" s="269">
        <f>I144</f>
        <v>0</v>
      </c>
      <c r="N144" s="101"/>
      <c r="O144" s="101"/>
      <c r="P144" s="101"/>
    </row>
    <row r="145" spans="1:16" x14ac:dyDescent="0.2">
      <c r="A145" s="265">
        <v>45307</v>
      </c>
      <c r="B145" s="101" t="s">
        <v>572</v>
      </c>
      <c r="C145" s="101" t="s">
        <v>575</v>
      </c>
      <c r="D145" s="101"/>
      <c r="E145" s="101"/>
      <c r="F145" s="101"/>
      <c r="G145" s="101" t="s">
        <v>17</v>
      </c>
      <c r="H145" s="275"/>
      <c r="I145" s="276">
        <v>26.58</v>
      </c>
      <c r="J145" s="101"/>
      <c r="K145" s="101"/>
      <c r="L145" s="269">
        <f t="shared" ref="L145:L146" si="31">I145</f>
        <v>26.58</v>
      </c>
      <c r="M145" s="101"/>
      <c r="N145" s="101"/>
      <c r="O145" s="101"/>
      <c r="P145" s="101"/>
    </row>
    <row r="146" spans="1:16" x14ac:dyDescent="0.2">
      <c r="A146" s="265">
        <v>45307</v>
      </c>
      <c r="B146" s="101" t="s">
        <v>571</v>
      </c>
      <c r="C146" s="101" t="s">
        <v>575</v>
      </c>
      <c r="D146" s="101"/>
      <c r="E146" s="101"/>
      <c r="F146" s="101"/>
      <c r="G146" s="101" t="s">
        <v>17</v>
      </c>
      <c r="H146" s="275"/>
      <c r="I146" s="276">
        <v>106.5</v>
      </c>
      <c r="J146" s="101"/>
      <c r="K146" s="101"/>
      <c r="L146" s="269">
        <f t="shared" si="31"/>
        <v>106.5</v>
      </c>
      <c r="M146" s="101"/>
      <c r="N146" s="101"/>
      <c r="O146" s="101"/>
      <c r="P146" s="101"/>
    </row>
    <row r="147" spans="1:16" x14ac:dyDescent="0.2">
      <c r="A147" s="265">
        <v>45307</v>
      </c>
      <c r="B147" s="101" t="s">
        <v>103</v>
      </c>
      <c r="C147" s="101" t="s">
        <v>577</v>
      </c>
      <c r="D147" s="101" t="s">
        <v>576</v>
      </c>
      <c r="E147" s="101" t="s">
        <v>114</v>
      </c>
      <c r="F147" s="101" t="s">
        <v>601</v>
      </c>
      <c r="G147" s="101" t="s">
        <v>19</v>
      </c>
      <c r="H147" s="275"/>
      <c r="I147" s="276">
        <v>9.98</v>
      </c>
      <c r="J147" s="101"/>
      <c r="K147" s="101"/>
      <c r="L147" s="101"/>
      <c r="M147" s="269">
        <f t="shared" ref="M147:M154" si="32">I147</f>
        <v>9.98</v>
      </c>
      <c r="N147" s="101"/>
      <c r="O147" s="101"/>
      <c r="P147" s="101"/>
    </row>
    <row r="148" spans="1:16" x14ac:dyDescent="0.2">
      <c r="A148" s="265">
        <v>45307</v>
      </c>
      <c r="B148" s="101" t="s">
        <v>104</v>
      </c>
      <c r="C148" s="101" t="s">
        <v>578</v>
      </c>
      <c r="D148" s="101">
        <v>4176982</v>
      </c>
      <c r="E148" s="101" t="s">
        <v>114</v>
      </c>
      <c r="F148" s="101"/>
      <c r="G148" s="101" t="s">
        <v>50</v>
      </c>
      <c r="H148" s="275"/>
      <c r="I148" s="276">
        <v>24.81</v>
      </c>
      <c r="J148" s="101"/>
      <c r="K148" s="101"/>
      <c r="L148" s="101"/>
      <c r="M148" s="269">
        <f t="shared" si="32"/>
        <v>24.81</v>
      </c>
      <c r="N148" s="101"/>
      <c r="O148" s="101"/>
      <c r="P148" s="101"/>
    </row>
    <row r="149" spans="1:16" x14ac:dyDescent="0.2">
      <c r="A149" s="265">
        <v>45314</v>
      </c>
      <c r="B149" s="101" t="s">
        <v>103</v>
      </c>
      <c r="C149" s="101" t="s">
        <v>579</v>
      </c>
      <c r="D149" s="101">
        <v>8750735729</v>
      </c>
      <c r="E149" s="101" t="s">
        <v>114</v>
      </c>
      <c r="F149" s="101" t="s">
        <v>601</v>
      </c>
      <c r="G149" s="101" t="s">
        <v>172</v>
      </c>
      <c r="H149" s="275"/>
      <c r="I149" s="276">
        <v>78.44</v>
      </c>
      <c r="J149" s="101"/>
      <c r="K149" s="101"/>
      <c r="L149" s="101"/>
      <c r="M149" s="269">
        <f t="shared" si="32"/>
        <v>78.44</v>
      </c>
      <c r="N149" s="101"/>
      <c r="O149" s="101"/>
      <c r="P149" s="101"/>
    </row>
    <row r="150" spans="1:16" x14ac:dyDescent="0.2">
      <c r="A150" s="265">
        <v>45323</v>
      </c>
      <c r="B150" s="101" t="s">
        <v>580</v>
      </c>
      <c r="C150" s="101" t="s">
        <v>581</v>
      </c>
      <c r="D150" s="101">
        <v>45323</v>
      </c>
      <c r="E150" s="101" t="s">
        <v>114</v>
      </c>
      <c r="F150" s="101"/>
      <c r="G150" s="101" t="s">
        <v>69</v>
      </c>
      <c r="H150" s="275"/>
      <c r="I150" s="276">
        <v>225</v>
      </c>
      <c r="J150" s="101"/>
      <c r="K150" s="101"/>
      <c r="L150" s="101"/>
      <c r="M150" s="269">
        <f t="shared" si="32"/>
        <v>225</v>
      </c>
      <c r="N150" s="101"/>
      <c r="O150" s="101"/>
      <c r="P150" s="101"/>
    </row>
    <row r="151" spans="1:16" x14ac:dyDescent="0.2">
      <c r="A151" s="265">
        <v>45342</v>
      </c>
      <c r="B151" s="101" t="s">
        <v>605</v>
      </c>
      <c r="C151" s="101" t="s">
        <v>591</v>
      </c>
      <c r="D151" s="101">
        <v>530648824</v>
      </c>
      <c r="E151" s="101" t="s">
        <v>114</v>
      </c>
      <c r="F151" s="101"/>
      <c r="G151" s="101" t="s">
        <v>23</v>
      </c>
      <c r="H151" s="275"/>
      <c r="I151" s="276">
        <v>842.96</v>
      </c>
      <c r="J151" s="101"/>
      <c r="K151" s="101"/>
      <c r="L151" s="101"/>
      <c r="M151" s="269">
        <f t="shared" si="32"/>
        <v>842.96</v>
      </c>
      <c r="N151" s="101"/>
      <c r="O151" s="101"/>
      <c r="P151" s="101"/>
    </row>
    <row r="152" spans="1:16" x14ac:dyDescent="0.2">
      <c r="A152" s="265">
        <v>45343</v>
      </c>
      <c r="B152" s="101" t="s">
        <v>463</v>
      </c>
      <c r="C152" s="101" t="s">
        <v>604</v>
      </c>
      <c r="D152" s="101">
        <v>16463</v>
      </c>
      <c r="E152" s="101" t="s">
        <v>114</v>
      </c>
      <c r="F152" s="101"/>
      <c r="G152" s="101" t="s">
        <v>106</v>
      </c>
      <c r="H152" s="275"/>
      <c r="I152" s="276">
        <v>388</v>
      </c>
      <c r="J152" s="101"/>
      <c r="K152" s="101"/>
      <c r="L152" s="101"/>
      <c r="M152" s="269">
        <f t="shared" si="32"/>
        <v>388</v>
      </c>
      <c r="N152" s="101"/>
      <c r="O152" s="101"/>
      <c r="P152" s="101"/>
    </row>
    <row r="153" spans="1:16" x14ac:dyDescent="0.2">
      <c r="A153" s="265">
        <v>45351</v>
      </c>
      <c r="B153" s="101" t="s">
        <v>322</v>
      </c>
      <c r="C153" s="101" t="s">
        <v>592</v>
      </c>
      <c r="D153" s="101">
        <v>950</v>
      </c>
      <c r="E153" s="101" t="s">
        <v>114</v>
      </c>
      <c r="F153" s="101" t="s">
        <v>601</v>
      </c>
      <c r="G153" s="101" t="s">
        <v>64</v>
      </c>
      <c r="H153" s="275"/>
      <c r="I153" s="276">
        <v>660</v>
      </c>
      <c r="J153" s="101"/>
      <c r="K153" s="101"/>
      <c r="L153" s="101"/>
      <c r="M153" s="269">
        <f t="shared" si="32"/>
        <v>660</v>
      </c>
      <c r="N153" s="101"/>
      <c r="O153" s="101"/>
      <c r="P153" s="101"/>
    </row>
    <row r="154" spans="1:16" x14ac:dyDescent="0.2">
      <c r="A154" s="265">
        <v>45350</v>
      </c>
      <c r="B154" s="101" t="s">
        <v>103</v>
      </c>
      <c r="C154" s="101" t="s">
        <v>593</v>
      </c>
      <c r="D154" s="101" t="s">
        <v>594</v>
      </c>
      <c r="E154" s="101" t="s">
        <v>114</v>
      </c>
      <c r="F154" s="101" t="s">
        <v>601</v>
      </c>
      <c r="G154" s="101" t="s">
        <v>19</v>
      </c>
      <c r="H154" s="275"/>
      <c r="I154" s="276">
        <v>55.04</v>
      </c>
      <c r="J154" s="101"/>
      <c r="K154" s="101"/>
      <c r="L154" s="101"/>
      <c r="M154" s="269">
        <f t="shared" si="32"/>
        <v>55.04</v>
      </c>
      <c r="N154" s="101"/>
      <c r="O154" s="101"/>
      <c r="P154" s="101"/>
    </row>
    <row r="155" spans="1:16" x14ac:dyDescent="0.2">
      <c r="A155" s="265">
        <v>45351</v>
      </c>
      <c r="B155" s="101" t="s">
        <v>595</v>
      </c>
      <c r="C155" s="101" t="s">
        <v>598</v>
      </c>
      <c r="D155" s="101"/>
      <c r="E155" s="101"/>
      <c r="F155" s="101"/>
      <c r="G155" s="101" t="s">
        <v>13</v>
      </c>
      <c r="H155" s="275"/>
      <c r="I155" s="276">
        <v>62.16</v>
      </c>
      <c r="J155" s="101"/>
      <c r="K155" s="101"/>
      <c r="L155" s="269">
        <f t="shared" ref="L155:L156" si="33">I155</f>
        <v>62.16</v>
      </c>
      <c r="M155" s="101"/>
      <c r="N155" s="101"/>
      <c r="O155" s="101"/>
      <c r="P155" s="101"/>
    </row>
    <row r="156" spans="1:16" x14ac:dyDescent="0.2">
      <c r="A156" s="265">
        <v>45351</v>
      </c>
      <c r="B156" s="101" t="s">
        <v>596</v>
      </c>
      <c r="C156" s="101" t="s">
        <v>598</v>
      </c>
      <c r="D156" s="101"/>
      <c r="E156" s="101"/>
      <c r="F156" s="101"/>
      <c r="G156" s="101" t="s">
        <v>13</v>
      </c>
      <c r="H156" s="275"/>
      <c r="I156" s="276">
        <v>248.36</v>
      </c>
      <c r="J156" s="101"/>
      <c r="K156" s="101"/>
      <c r="L156" s="269">
        <f t="shared" si="33"/>
        <v>248.36</v>
      </c>
      <c r="M156" s="101"/>
      <c r="N156" s="101"/>
      <c r="O156" s="101"/>
      <c r="P156" s="101"/>
    </row>
    <row r="157" spans="1:16" x14ac:dyDescent="0.2">
      <c r="A157" s="265">
        <v>45351</v>
      </c>
      <c r="B157" s="101" t="s">
        <v>597</v>
      </c>
      <c r="C157" s="101" t="s">
        <v>599</v>
      </c>
      <c r="D157" s="101"/>
      <c r="E157" s="101"/>
      <c r="F157" s="101"/>
      <c r="G157" s="101" t="s">
        <v>19</v>
      </c>
      <c r="H157" s="275"/>
      <c r="I157" s="276">
        <v>1.1299999999999999</v>
      </c>
      <c r="J157" s="101"/>
      <c r="K157" s="101"/>
      <c r="L157" s="101"/>
      <c r="M157" s="269">
        <f>I157</f>
        <v>1.1299999999999999</v>
      </c>
      <c r="N157" s="101"/>
      <c r="O157" s="101"/>
      <c r="P157" s="101"/>
    </row>
    <row r="158" spans="1:16" x14ac:dyDescent="0.2">
      <c r="A158" s="265">
        <v>45351</v>
      </c>
      <c r="B158" s="101" t="s">
        <v>595</v>
      </c>
      <c r="C158" s="101" t="s">
        <v>600</v>
      </c>
      <c r="D158" s="101"/>
      <c r="E158" s="101"/>
      <c r="F158" s="101"/>
      <c r="G158" s="101" t="s">
        <v>17</v>
      </c>
      <c r="H158" s="275"/>
      <c r="I158" s="276">
        <v>26.64</v>
      </c>
      <c r="J158" s="101"/>
      <c r="K158" s="101"/>
      <c r="L158" s="269">
        <f t="shared" ref="L158:L159" si="34">I158</f>
        <v>26.64</v>
      </c>
      <c r="M158" s="101"/>
      <c r="N158" s="101"/>
      <c r="O158" s="101"/>
      <c r="P158" s="101"/>
    </row>
    <row r="159" spans="1:16" x14ac:dyDescent="0.2">
      <c r="A159" s="265">
        <v>45351</v>
      </c>
      <c r="B159" s="101" t="s">
        <v>596</v>
      </c>
      <c r="C159" s="101" t="s">
        <v>600</v>
      </c>
      <c r="D159" s="101"/>
      <c r="E159" s="101"/>
      <c r="F159" s="101"/>
      <c r="G159" s="101" t="s">
        <v>17</v>
      </c>
      <c r="H159" s="275"/>
      <c r="I159" s="276">
        <v>106.44</v>
      </c>
      <c r="J159" s="101"/>
      <c r="K159" s="101"/>
      <c r="L159" s="269">
        <f t="shared" si="34"/>
        <v>106.44</v>
      </c>
      <c r="M159" s="101"/>
      <c r="N159" s="101"/>
      <c r="O159" s="101"/>
      <c r="P159" s="101"/>
    </row>
    <row r="160" spans="1:16" x14ac:dyDescent="0.2">
      <c r="A160" s="265">
        <v>45358</v>
      </c>
      <c r="B160" s="101" t="s">
        <v>127</v>
      </c>
      <c r="C160" s="101" t="s">
        <v>642</v>
      </c>
      <c r="D160" s="101"/>
      <c r="E160" s="101"/>
      <c r="F160" s="101"/>
      <c r="G160" s="101" t="s">
        <v>9</v>
      </c>
      <c r="H160" s="275">
        <v>4126.55</v>
      </c>
      <c r="I160" s="276"/>
      <c r="J160" s="273"/>
      <c r="K160" s="273">
        <f>H160</f>
        <v>4126.55</v>
      </c>
      <c r="L160" s="273"/>
      <c r="M160" s="273"/>
      <c r="N160" s="273"/>
      <c r="O160" s="101"/>
      <c r="P160" s="101"/>
    </row>
    <row r="161" spans="1:16" x14ac:dyDescent="0.2">
      <c r="A161" s="265">
        <v>45369</v>
      </c>
      <c r="B161" s="101" t="s">
        <v>607</v>
      </c>
      <c r="C161" s="101" t="s">
        <v>609</v>
      </c>
      <c r="D161" s="101"/>
      <c r="E161" s="101"/>
      <c r="F161" s="101"/>
      <c r="G161" s="101" t="s">
        <v>13</v>
      </c>
      <c r="H161" s="275"/>
      <c r="I161" s="276">
        <v>62.02</v>
      </c>
      <c r="J161" s="101"/>
      <c r="K161" s="101"/>
      <c r="L161" s="269">
        <f t="shared" ref="L161:L162" si="35">I161</f>
        <v>62.02</v>
      </c>
      <c r="M161" s="101"/>
      <c r="N161" s="101"/>
      <c r="O161" s="101"/>
      <c r="P161" s="101"/>
    </row>
    <row r="162" spans="1:16" x14ac:dyDescent="0.2">
      <c r="A162" s="265">
        <v>45369</v>
      </c>
      <c r="B162" s="101" t="s">
        <v>608</v>
      </c>
      <c r="C162" s="101" t="s">
        <v>609</v>
      </c>
      <c r="D162" s="101"/>
      <c r="E162" s="101"/>
      <c r="F162" s="101"/>
      <c r="G162" s="101" t="s">
        <v>13</v>
      </c>
      <c r="H162" s="275"/>
      <c r="I162" s="276">
        <v>248.5</v>
      </c>
      <c r="J162" s="101"/>
      <c r="K162" s="101"/>
      <c r="L162" s="269">
        <f t="shared" si="35"/>
        <v>248.5</v>
      </c>
      <c r="M162" s="101"/>
      <c r="N162" s="101"/>
      <c r="O162" s="101"/>
      <c r="P162" s="101"/>
    </row>
    <row r="163" spans="1:16" x14ac:dyDescent="0.2">
      <c r="A163" s="265">
        <v>45369</v>
      </c>
      <c r="B163" s="101" t="s">
        <v>608</v>
      </c>
      <c r="C163" s="101" t="s">
        <v>610</v>
      </c>
      <c r="D163" s="101"/>
      <c r="E163" s="101"/>
      <c r="F163" s="101"/>
      <c r="G163" s="101" t="s">
        <v>19</v>
      </c>
      <c r="H163" s="275"/>
      <c r="I163" s="276">
        <v>1.1299999999999999</v>
      </c>
      <c r="J163" s="101"/>
      <c r="K163" s="101"/>
      <c r="L163" s="101"/>
      <c r="M163" s="269">
        <f>I163</f>
        <v>1.1299999999999999</v>
      </c>
      <c r="N163" s="101"/>
      <c r="O163" s="101"/>
      <c r="P163" s="101"/>
    </row>
    <row r="164" spans="1:16" x14ac:dyDescent="0.2">
      <c r="A164" s="265">
        <v>45369</v>
      </c>
      <c r="B164" s="101" t="s">
        <v>607</v>
      </c>
      <c r="C164" s="101" t="s">
        <v>611</v>
      </c>
      <c r="D164" s="101"/>
      <c r="E164" s="101"/>
      <c r="F164" s="101"/>
      <c r="G164" s="101" t="s">
        <v>17</v>
      </c>
      <c r="H164" s="275"/>
      <c r="I164" s="276">
        <v>26.58</v>
      </c>
      <c r="J164" s="101"/>
      <c r="K164" s="101"/>
      <c r="L164" s="269">
        <f t="shared" ref="L164:L165" si="36">I164</f>
        <v>26.58</v>
      </c>
      <c r="M164" s="101"/>
      <c r="N164" s="101"/>
      <c r="O164" s="101"/>
      <c r="P164" s="101"/>
    </row>
    <row r="165" spans="1:16" x14ac:dyDescent="0.2">
      <c r="A165" s="265">
        <v>45369</v>
      </c>
      <c r="B165" s="101" t="s">
        <v>608</v>
      </c>
      <c r="C165" s="101" t="s">
        <v>611</v>
      </c>
      <c r="D165" s="101"/>
      <c r="E165" s="101"/>
      <c r="F165" s="101"/>
      <c r="G165" s="101" t="s">
        <v>17</v>
      </c>
      <c r="H165" s="275"/>
      <c r="I165" s="276">
        <v>106.5</v>
      </c>
      <c r="J165" s="101"/>
      <c r="K165" s="101"/>
      <c r="L165" s="269">
        <f t="shared" si="36"/>
        <v>106.5</v>
      </c>
      <c r="M165" s="101"/>
      <c r="N165" s="101"/>
      <c r="O165" s="101"/>
      <c r="P165" s="101"/>
    </row>
    <row r="166" spans="1:16" x14ac:dyDescent="0.2">
      <c r="A166" s="265">
        <v>45369</v>
      </c>
      <c r="B166" s="101" t="s">
        <v>103</v>
      </c>
      <c r="C166" s="101" t="s">
        <v>613</v>
      </c>
      <c r="D166" s="101" t="s">
        <v>326</v>
      </c>
      <c r="E166" s="101" t="s">
        <v>114</v>
      </c>
      <c r="F166" s="101" t="s">
        <v>617</v>
      </c>
      <c r="G166" s="101" t="s">
        <v>19</v>
      </c>
      <c r="H166" s="275"/>
      <c r="I166" s="276">
        <v>49.27</v>
      </c>
      <c r="J166" s="101"/>
      <c r="K166" s="101"/>
      <c r="L166" s="101"/>
      <c r="M166" s="269">
        <f t="shared" ref="M166:M167" si="37">I166</f>
        <v>49.27</v>
      </c>
      <c r="N166" s="101"/>
      <c r="O166" s="101"/>
      <c r="P166" s="101"/>
    </row>
    <row r="167" spans="1:16" x14ac:dyDescent="0.2">
      <c r="A167" s="265">
        <v>45370</v>
      </c>
      <c r="B167" s="101" t="s">
        <v>101</v>
      </c>
      <c r="C167" s="101" t="s">
        <v>612</v>
      </c>
      <c r="D167" s="101">
        <v>603122262</v>
      </c>
      <c r="E167" s="101" t="s">
        <v>114</v>
      </c>
      <c r="F167" s="101" t="s">
        <v>617</v>
      </c>
      <c r="G167" s="101" t="s">
        <v>68</v>
      </c>
      <c r="H167" s="275"/>
      <c r="I167" s="276">
        <v>444.28</v>
      </c>
      <c r="J167" s="101"/>
      <c r="K167" s="101"/>
      <c r="L167" s="101"/>
      <c r="M167" s="269">
        <f t="shared" si="37"/>
        <v>444.28</v>
      </c>
      <c r="N167" s="101"/>
      <c r="O167" s="101"/>
      <c r="P167" s="101"/>
    </row>
    <row r="168" spans="1:16" x14ac:dyDescent="0.2">
      <c r="A168" s="265">
        <v>45378</v>
      </c>
      <c r="B168" s="101" t="s">
        <v>127</v>
      </c>
      <c r="C168" s="101" t="s">
        <v>614</v>
      </c>
      <c r="D168" s="101" t="s">
        <v>249</v>
      </c>
      <c r="E168" s="101" t="s">
        <v>114</v>
      </c>
      <c r="F168" s="101"/>
      <c r="G168" s="101" t="s">
        <v>9</v>
      </c>
      <c r="H168" s="275">
        <v>110</v>
      </c>
      <c r="I168" s="276"/>
      <c r="J168" s="273"/>
      <c r="K168" s="273">
        <f>H168</f>
        <v>110</v>
      </c>
      <c r="L168" s="273"/>
      <c r="M168" s="273"/>
      <c r="N168" s="273"/>
      <c r="O168" s="101"/>
      <c r="P168" s="101"/>
    </row>
    <row r="169" spans="1:16" x14ac:dyDescent="0.2">
      <c r="A169" s="288">
        <v>45379</v>
      </c>
      <c r="B169" s="254" t="s">
        <v>482</v>
      </c>
      <c r="C169" s="254" t="s">
        <v>615</v>
      </c>
      <c r="D169" s="254"/>
      <c r="E169" s="254"/>
      <c r="F169" s="254"/>
      <c r="G169" s="254" t="s">
        <v>165</v>
      </c>
      <c r="H169" s="289"/>
      <c r="I169" s="290">
        <v>30</v>
      </c>
      <c r="J169" s="254"/>
      <c r="K169" s="254"/>
      <c r="L169" s="254"/>
      <c r="M169" s="291">
        <f>I169</f>
        <v>30</v>
      </c>
      <c r="N169" s="254"/>
      <c r="O169" s="101"/>
      <c r="P169" s="101"/>
    </row>
    <row r="170" spans="1:16" x14ac:dyDescent="0.2">
      <c r="A170" s="265">
        <v>45397</v>
      </c>
      <c r="B170" s="101" t="s">
        <v>626</v>
      </c>
      <c r="C170" s="101" t="s">
        <v>390</v>
      </c>
      <c r="D170" s="101"/>
      <c r="E170" s="101"/>
      <c r="F170" s="101"/>
      <c r="G170" s="101" t="s">
        <v>13</v>
      </c>
      <c r="H170" s="275"/>
      <c r="I170" s="276">
        <v>62.02</v>
      </c>
      <c r="J170" s="101"/>
      <c r="K170" s="101"/>
      <c r="L170" s="269">
        <f t="shared" ref="L170:L171" si="38">I170</f>
        <v>62.02</v>
      </c>
      <c r="M170" s="101"/>
      <c r="N170" s="101"/>
      <c r="O170" s="101"/>
      <c r="P170" s="101"/>
    </row>
    <row r="171" spans="1:16" x14ac:dyDescent="0.2">
      <c r="A171" s="265">
        <v>45397</v>
      </c>
      <c r="B171" s="101" t="s">
        <v>627</v>
      </c>
      <c r="C171" s="101" t="s">
        <v>390</v>
      </c>
      <c r="D171" s="101"/>
      <c r="E171" s="101"/>
      <c r="F171" s="101"/>
      <c r="G171" s="101" t="s">
        <v>13</v>
      </c>
      <c r="H171" s="275"/>
      <c r="I171" s="276">
        <v>248.5</v>
      </c>
      <c r="J171" s="101"/>
      <c r="K171" s="101"/>
      <c r="L171" s="269">
        <f t="shared" si="38"/>
        <v>248.5</v>
      </c>
      <c r="M171" s="101"/>
      <c r="N171" s="101"/>
      <c r="O171" s="101"/>
      <c r="P171" s="101"/>
    </row>
    <row r="172" spans="1:16" x14ac:dyDescent="0.2">
      <c r="A172" s="265">
        <v>45397</v>
      </c>
      <c r="B172" s="101" t="s">
        <v>627</v>
      </c>
      <c r="C172" s="101" t="s">
        <v>391</v>
      </c>
      <c r="D172" s="101"/>
      <c r="E172" s="101"/>
      <c r="F172" s="101"/>
      <c r="G172" s="101" t="s">
        <v>19</v>
      </c>
      <c r="H172" s="275"/>
      <c r="I172" s="276">
        <v>27.45</v>
      </c>
      <c r="J172" s="101"/>
      <c r="K172" s="101"/>
      <c r="L172" s="101"/>
      <c r="M172" s="269">
        <f>I172</f>
        <v>27.45</v>
      </c>
      <c r="N172" s="101"/>
      <c r="O172" s="101"/>
      <c r="P172" s="101"/>
    </row>
    <row r="173" spans="1:16" x14ac:dyDescent="0.2">
      <c r="A173" s="265">
        <v>45397</v>
      </c>
      <c r="B173" s="101" t="s">
        <v>626</v>
      </c>
      <c r="C173" s="101" t="s">
        <v>628</v>
      </c>
      <c r="D173" s="101"/>
      <c r="E173" s="101"/>
      <c r="F173" s="101"/>
      <c r="G173" s="101" t="s">
        <v>17</v>
      </c>
      <c r="H173" s="275"/>
      <c r="I173" s="276">
        <v>26.58</v>
      </c>
      <c r="J173" s="101"/>
      <c r="K173" s="101"/>
      <c r="L173" s="269">
        <f t="shared" ref="L173:L174" si="39">I173</f>
        <v>26.58</v>
      </c>
      <c r="M173" s="101"/>
      <c r="N173" s="101"/>
      <c r="O173" s="101"/>
      <c r="P173" s="101"/>
    </row>
    <row r="174" spans="1:16" x14ac:dyDescent="0.2">
      <c r="A174" s="265">
        <v>45397</v>
      </c>
      <c r="B174" s="101" t="s">
        <v>627</v>
      </c>
      <c r="C174" s="101" t="s">
        <v>628</v>
      </c>
      <c r="D174" s="101"/>
      <c r="E174" s="101"/>
      <c r="F174" s="101"/>
      <c r="G174" s="101" t="s">
        <v>17</v>
      </c>
      <c r="H174" s="275"/>
      <c r="I174" s="276">
        <v>106.5</v>
      </c>
      <c r="J174" s="101"/>
      <c r="K174" s="101"/>
      <c r="L174" s="269">
        <f t="shared" si="39"/>
        <v>106.5</v>
      </c>
      <c r="M174" s="101"/>
      <c r="N174" s="101"/>
      <c r="O174" s="101"/>
      <c r="P174" s="101"/>
    </row>
    <row r="175" spans="1:16" x14ac:dyDescent="0.2">
      <c r="A175" s="265">
        <v>45367</v>
      </c>
      <c r="B175" s="101" t="s">
        <v>103</v>
      </c>
      <c r="C175" s="101" t="s">
        <v>629</v>
      </c>
      <c r="D175" s="101" t="s">
        <v>259</v>
      </c>
      <c r="E175" s="101" t="s">
        <v>114</v>
      </c>
      <c r="F175" s="101"/>
      <c r="G175" s="101" t="s">
        <v>69</v>
      </c>
      <c r="H175" s="275"/>
      <c r="I175" s="276">
        <v>15.5</v>
      </c>
      <c r="J175" s="101"/>
      <c r="K175" s="101"/>
      <c r="L175" s="101"/>
      <c r="M175" s="269">
        <f t="shared" ref="M175:M181" si="40">I175</f>
        <v>15.5</v>
      </c>
      <c r="N175" s="101"/>
      <c r="O175" s="101"/>
      <c r="P175" s="101"/>
    </row>
    <row r="176" spans="1:16" x14ac:dyDescent="0.2">
      <c r="A176" s="265">
        <v>45382</v>
      </c>
      <c r="B176" s="101" t="s">
        <v>306</v>
      </c>
      <c r="C176" s="101" t="s">
        <v>630</v>
      </c>
      <c r="D176" s="101">
        <v>310324</v>
      </c>
      <c r="E176" s="101" t="s">
        <v>114</v>
      </c>
      <c r="F176" s="101"/>
      <c r="G176" s="101" t="s">
        <v>46</v>
      </c>
      <c r="H176" s="275"/>
      <c r="I176" s="276">
        <v>300</v>
      </c>
      <c r="J176" s="101"/>
      <c r="K176" s="101"/>
      <c r="L176" s="101"/>
      <c r="M176" s="269">
        <f t="shared" si="40"/>
        <v>300</v>
      </c>
      <c r="N176" s="101"/>
      <c r="O176" s="101"/>
      <c r="P176" s="101"/>
    </row>
    <row r="177" spans="1:16" x14ac:dyDescent="0.2">
      <c r="A177" s="265">
        <v>45383</v>
      </c>
      <c r="B177" s="101" t="s">
        <v>102</v>
      </c>
      <c r="C177" s="101" t="s">
        <v>631</v>
      </c>
      <c r="D177" s="101"/>
      <c r="E177" s="101"/>
      <c r="F177" s="123" t="s">
        <v>635</v>
      </c>
      <c r="G177" s="101" t="s">
        <v>30</v>
      </c>
      <c r="H177" s="275"/>
      <c r="I177" s="276">
        <v>306.89</v>
      </c>
      <c r="J177" s="101"/>
      <c r="K177" s="101"/>
      <c r="L177" s="101"/>
      <c r="M177" s="269">
        <f t="shared" si="40"/>
        <v>306.89</v>
      </c>
      <c r="N177" s="101"/>
      <c r="O177" s="101"/>
      <c r="P177" s="101"/>
    </row>
    <row r="178" spans="1:16" x14ac:dyDescent="0.2">
      <c r="A178" s="265">
        <v>45386</v>
      </c>
      <c r="B178" s="101" t="s">
        <v>322</v>
      </c>
      <c r="C178" s="101" t="s">
        <v>632</v>
      </c>
      <c r="D178" s="101">
        <v>958</v>
      </c>
      <c r="E178" s="101" t="s">
        <v>114</v>
      </c>
      <c r="F178" s="123" t="s">
        <v>635</v>
      </c>
      <c r="G178" s="101" t="s">
        <v>64</v>
      </c>
      <c r="H178" s="275"/>
      <c r="I178" s="276">
        <v>96</v>
      </c>
      <c r="J178" s="101"/>
      <c r="K178" s="101"/>
      <c r="L178" s="101"/>
      <c r="M178" s="269">
        <f t="shared" si="40"/>
        <v>96</v>
      </c>
      <c r="N178" s="101"/>
      <c r="O178" s="101"/>
      <c r="P178" s="101"/>
    </row>
    <row r="179" spans="1:16" x14ac:dyDescent="0.2">
      <c r="A179" s="265">
        <v>45382</v>
      </c>
      <c r="B179" s="101" t="s">
        <v>633</v>
      </c>
      <c r="C179" s="101" t="s">
        <v>634</v>
      </c>
      <c r="D179" s="101">
        <v>15797</v>
      </c>
      <c r="E179" s="101" t="s">
        <v>114</v>
      </c>
      <c r="F179" s="123" t="s">
        <v>635</v>
      </c>
      <c r="G179" s="101" t="s">
        <v>57</v>
      </c>
      <c r="H179" s="275"/>
      <c r="I179" s="276">
        <v>453.6</v>
      </c>
      <c r="J179" s="101"/>
      <c r="K179" s="101"/>
      <c r="L179" s="101"/>
      <c r="M179" s="269">
        <f t="shared" si="40"/>
        <v>453.6</v>
      </c>
      <c r="N179" s="101"/>
      <c r="O179" s="101"/>
      <c r="P179" s="101"/>
    </row>
    <row r="180" spans="1:16" x14ac:dyDescent="0.2">
      <c r="A180" s="265">
        <v>45394</v>
      </c>
      <c r="B180" s="101" t="s">
        <v>35</v>
      </c>
      <c r="C180" s="101" t="s">
        <v>636</v>
      </c>
      <c r="D180" s="101" t="s">
        <v>637</v>
      </c>
      <c r="E180" s="101" t="s">
        <v>114</v>
      </c>
      <c r="F180" s="123" t="s">
        <v>635</v>
      </c>
      <c r="G180" s="101" t="s">
        <v>34</v>
      </c>
      <c r="H180" s="275"/>
      <c r="I180" s="276">
        <v>112</v>
      </c>
      <c r="J180" s="101"/>
      <c r="K180" s="101"/>
      <c r="L180" s="101"/>
      <c r="M180" s="269">
        <f t="shared" si="40"/>
        <v>112</v>
      </c>
      <c r="N180" s="101"/>
      <c r="O180" s="101"/>
      <c r="P180" s="101"/>
    </row>
    <row r="181" spans="1:16" x14ac:dyDescent="0.2">
      <c r="A181" s="265">
        <v>45397</v>
      </c>
      <c r="B181" s="101" t="s">
        <v>513</v>
      </c>
      <c r="C181" s="101" t="s">
        <v>639</v>
      </c>
      <c r="D181" s="101" t="s">
        <v>332</v>
      </c>
      <c r="E181" s="101"/>
      <c r="F181" s="123" t="s">
        <v>635</v>
      </c>
      <c r="G181" s="101" t="s">
        <v>165</v>
      </c>
      <c r="H181" s="275"/>
      <c r="I181" s="276">
        <v>231.8</v>
      </c>
      <c r="J181" s="101"/>
      <c r="K181" s="101"/>
      <c r="L181" s="101"/>
      <c r="M181" s="269">
        <f t="shared" si="40"/>
        <v>231.8</v>
      </c>
      <c r="N181" s="101"/>
      <c r="O181" s="101"/>
      <c r="P181" s="101"/>
    </row>
    <row r="182" spans="1:16" x14ac:dyDescent="0.2">
      <c r="A182" s="265">
        <v>45401</v>
      </c>
      <c r="B182" s="101" t="s">
        <v>127</v>
      </c>
      <c r="C182" s="101" t="s">
        <v>638</v>
      </c>
      <c r="D182" s="101" t="s">
        <v>249</v>
      </c>
      <c r="E182" s="101" t="s">
        <v>114</v>
      </c>
      <c r="F182" s="123" t="s">
        <v>635</v>
      </c>
      <c r="G182" s="101" t="s">
        <v>4</v>
      </c>
      <c r="H182" s="275">
        <v>12500</v>
      </c>
      <c r="I182" s="276"/>
      <c r="J182" s="273">
        <f>H182</f>
        <v>12500</v>
      </c>
      <c r="K182" s="273"/>
      <c r="L182" s="273"/>
      <c r="M182" s="273"/>
      <c r="N182" s="273"/>
      <c r="O182" s="101"/>
      <c r="P182" s="101"/>
    </row>
    <row r="183" spans="1:16" x14ac:dyDescent="0.2">
      <c r="A183" s="265">
        <v>45394</v>
      </c>
      <c r="B183" s="101" t="s">
        <v>104</v>
      </c>
      <c r="C183" s="101" t="s">
        <v>640</v>
      </c>
      <c r="D183" s="101">
        <v>4857611</v>
      </c>
      <c r="E183" s="101" t="s">
        <v>114</v>
      </c>
      <c r="F183" s="123" t="s">
        <v>635</v>
      </c>
      <c r="G183" s="101" t="s">
        <v>50</v>
      </c>
      <c r="H183" s="275"/>
      <c r="I183" s="276">
        <v>85.62</v>
      </c>
      <c r="J183" s="101"/>
      <c r="K183" s="101"/>
      <c r="L183" s="101"/>
      <c r="M183" s="269">
        <f>I183</f>
        <v>85.62</v>
      </c>
      <c r="N183" s="101"/>
      <c r="O183" s="101"/>
      <c r="P183" s="101"/>
    </row>
    <row r="184" spans="1:16" x14ac:dyDescent="0.2">
      <c r="A184" s="265"/>
      <c r="B184" s="101"/>
      <c r="C184" s="101"/>
      <c r="D184" s="101"/>
      <c r="E184" s="101"/>
      <c r="F184" s="101"/>
      <c r="G184" s="101"/>
      <c r="H184" s="275"/>
      <c r="I184" s="276"/>
      <c r="J184" s="273"/>
      <c r="K184" s="273"/>
      <c r="L184" s="273"/>
      <c r="M184" s="273"/>
      <c r="N184" s="273"/>
      <c r="O184" s="101"/>
      <c r="P184" s="101"/>
    </row>
    <row r="185" spans="1:16" x14ac:dyDescent="0.2">
      <c r="A185" s="265"/>
      <c r="B185" s="101"/>
      <c r="C185" s="101"/>
      <c r="D185" s="101"/>
      <c r="E185" s="101"/>
      <c r="F185" s="101"/>
      <c r="G185" s="101"/>
      <c r="H185" s="275">
        <f>SUM(H21:H183)</f>
        <v>52009.880000000005</v>
      </c>
      <c r="I185" s="275">
        <f t="shared" ref="I185:O185" si="41">SUM(I21:I183)</f>
        <v>35439.56</v>
      </c>
      <c r="J185" s="275">
        <f t="shared" si="41"/>
        <v>37500</v>
      </c>
      <c r="K185" s="275">
        <f t="shared" si="41"/>
        <v>14509.879999999997</v>
      </c>
      <c r="L185" s="275">
        <f t="shared" si="41"/>
        <v>5323.2</v>
      </c>
      <c r="M185" s="275">
        <f t="shared" si="41"/>
        <v>30116.360000000004</v>
      </c>
      <c r="N185" s="275">
        <f t="shared" si="41"/>
        <v>0</v>
      </c>
      <c r="O185" s="275">
        <f t="shared" si="41"/>
        <v>0</v>
      </c>
      <c r="P185" s="101"/>
    </row>
    <row r="186" spans="1:16" x14ac:dyDescent="0.2">
      <c r="A186" s="265"/>
      <c r="B186" s="101"/>
      <c r="C186" s="101"/>
      <c r="D186" s="101"/>
      <c r="E186" s="101"/>
      <c r="F186" s="101"/>
      <c r="G186" s="101"/>
      <c r="H186" s="404" t="s">
        <v>655</v>
      </c>
      <c r="I186" s="405"/>
      <c r="J186" s="273">
        <f>-H182</f>
        <v>-12500</v>
      </c>
      <c r="K186" s="273"/>
      <c r="L186" s="273"/>
      <c r="M186" s="273">
        <f>-(I177+I178+I179+I180+I181+I183)</f>
        <v>-1285.9099999999999</v>
      </c>
      <c r="N186" s="273"/>
      <c r="O186" s="101"/>
      <c r="P186" s="101"/>
    </row>
    <row r="187" spans="1:16" x14ac:dyDescent="0.2">
      <c r="A187" s="265"/>
      <c r="B187" s="101"/>
      <c r="C187" s="101"/>
      <c r="D187" s="101"/>
      <c r="E187" s="101"/>
      <c r="F187" s="101"/>
      <c r="G187" s="101"/>
      <c r="H187" s="275"/>
      <c r="I187" s="276"/>
      <c r="J187" s="273"/>
      <c r="K187" s="273"/>
      <c r="L187" s="273"/>
      <c r="M187" s="273"/>
      <c r="N187" s="273"/>
      <c r="O187" s="101"/>
      <c r="P187" s="101"/>
    </row>
    <row r="188" spans="1:16" x14ac:dyDescent="0.2">
      <c r="A188" s="265"/>
      <c r="B188" s="101"/>
      <c r="C188" s="101"/>
      <c r="D188" s="101"/>
      <c r="E188" s="101"/>
      <c r="F188" s="101"/>
      <c r="G188" s="101"/>
      <c r="H188" s="406" t="s">
        <v>656</v>
      </c>
      <c r="I188" s="407"/>
      <c r="J188" s="273"/>
      <c r="K188" s="273"/>
      <c r="L188" s="273"/>
      <c r="M188" s="273"/>
      <c r="N188" s="273"/>
      <c r="O188" s="101"/>
      <c r="P188" s="101"/>
    </row>
    <row r="189" spans="1:16" x14ac:dyDescent="0.2">
      <c r="A189" s="265"/>
      <c r="B189" s="101"/>
      <c r="C189" s="101"/>
      <c r="D189" s="101"/>
      <c r="E189" s="101"/>
      <c r="F189" s="101"/>
      <c r="G189" s="101"/>
      <c r="H189" s="283"/>
      <c r="I189" s="283"/>
      <c r="J189" s="273"/>
      <c r="K189" s="273"/>
      <c r="L189" s="273"/>
      <c r="M189" s="273"/>
      <c r="N189" s="273"/>
      <c r="O189" s="397">
        <f>Activity!P20</f>
        <v>13953.849999999999</v>
      </c>
      <c r="P189" s="270" t="s">
        <v>658</v>
      </c>
    </row>
    <row r="190" spans="1:16" x14ac:dyDescent="0.2">
      <c r="A190" s="284" t="s">
        <v>661</v>
      </c>
      <c r="B190" s="71"/>
      <c r="C190" s="71"/>
      <c r="D190" s="101"/>
      <c r="E190" s="101"/>
      <c r="F190" s="101"/>
      <c r="G190" s="101"/>
      <c r="H190" s="406" t="s">
        <v>657</v>
      </c>
      <c r="I190" s="407"/>
      <c r="J190" s="273">
        <f>J185+J186</f>
        <v>25000</v>
      </c>
      <c r="K190" s="273">
        <f t="shared" ref="K190:N190" si="42">K185+K186</f>
        <v>14509.879999999997</v>
      </c>
      <c r="L190" s="273">
        <f t="shared" si="42"/>
        <v>5323.2</v>
      </c>
      <c r="M190" s="273">
        <f t="shared" si="42"/>
        <v>28830.450000000004</v>
      </c>
      <c r="N190" s="273">
        <f t="shared" si="42"/>
        <v>0</v>
      </c>
      <c r="O190" s="397">
        <f>J190+K190-L190-M190</f>
        <v>5356.2299999999959</v>
      </c>
      <c r="P190" s="270" t="s">
        <v>659</v>
      </c>
    </row>
    <row r="191" spans="1:16" x14ac:dyDescent="0.2">
      <c r="A191" s="265"/>
      <c r="B191" s="71"/>
      <c r="C191" s="71"/>
      <c r="D191" s="101"/>
      <c r="E191" s="101"/>
      <c r="F191" s="101"/>
      <c r="G191" s="101"/>
      <c r="H191" s="275"/>
      <c r="I191" s="276"/>
      <c r="J191" s="273"/>
      <c r="K191" s="273"/>
      <c r="L191" s="273"/>
      <c r="M191" s="273"/>
      <c r="N191" s="273"/>
      <c r="O191" s="397">
        <f>SUM(O189:O190)</f>
        <v>19310.079999999994</v>
      </c>
      <c r="P191" s="270" t="s">
        <v>660</v>
      </c>
    </row>
    <row r="192" spans="1:16" x14ac:dyDescent="0.2">
      <c r="A192" s="285" t="s">
        <v>662</v>
      </c>
      <c r="B192" s="286" t="s">
        <v>663</v>
      </c>
      <c r="C192" s="287"/>
      <c r="D192" s="397">
        <f>O191</f>
        <v>19310.079999999994</v>
      </c>
      <c r="E192" s="101"/>
      <c r="F192" s="101"/>
      <c r="G192" s="101"/>
      <c r="H192" s="275"/>
      <c r="I192" s="276"/>
      <c r="J192" s="273"/>
      <c r="K192" s="273"/>
      <c r="L192" s="273"/>
      <c r="M192" s="273"/>
      <c r="N192" s="273"/>
      <c r="O192" s="101"/>
      <c r="P192" s="101"/>
    </row>
    <row r="193" spans="1:16" x14ac:dyDescent="0.2">
      <c r="A193" s="265"/>
      <c r="B193" s="71"/>
      <c r="C193" s="287"/>
      <c r="D193" s="273"/>
      <c r="E193" s="101"/>
      <c r="F193" s="101"/>
      <c r="G193" s="101"/>
      <c r="H193" s="275"/>
      <c r="I193" s="276"/>
      <c r="J193" s="273"/>
      <c r="K193" s="273"/>
      <c r="L193" s="273"/>
      <c r="M193" s="273"/>
      <c r="N193" s="273"/>
      <c r="O193" s="101"/>
      <c r="P193" s="101"/>
    </row>
    <row r="194" spans="1:16" x14ac:dyDescent="0.2">
      <c r="A194" s="265"/>
      <c r="B194" s="263" t="s">
        <v>664</v>
      </c>
      <c r="C194" s="287"/>
      <c r="D194" s="273"/>
      <c r="E194" s="101"/>
      <c r="F194" s="101"/>
      <c r="G194" s="101"/>
      <c r="H194" s="275"/>
      <c r="I194" s="276"/>
      <c r="J194" s="273"/>
      <c r="K194" s="273"/>
      <c r="L194" s="273"/>
      <c r="M194" s="273"/>
      <c r="N194" s="273"/>
      <c r="O194" s="101"/>
      <c r="P194" s="101"/>
    </row>
    <row r="195" spans="1:16" x14ac:dyDescent="0.2">
      <c r="A195" s="265"/>
      <c r="B195" s="71"/>
      <c r="C195" s="122"/>
      <c r="D195" s="273">
        <v>0</v>
      </c>
      <c r="E195" s="101"/>
      <c r="F195" s="101"/>
      <c r="G195" s="101"/>
      <c r="H195" s="275"/>
      <c r="I195" s="276"/>
      <c r="J195" s="273"/>
      <c r="K195" s="273"/>
      <c r="L195" s="273"/>
      <c r="M195" s="273"/>
      <c r="N195" s="273"/>
      <c r="O195" s="101"/>
      <c r="P195" s="101"/>
    </row>
    <row r="196" spans="1:16" x14ac:dyDescent="0.2">
      <c r="A196" s="265"/>
      <c r="B196" s="71"/>
      <c r="C196" s="287"/>
      <c r="D196" s="273"/>
      <c r="E196" s="101"/>
      <c r="F196" s="101"/>
      <c r="G196" s="101"/>
      <c r="H196" s="275"/>
      <c r="I196" s="276"/>
      <c r="J196" s="273"/>
      <c r="K196" s="273"/>
      <c r="L196" s="273"/>
      <c r="M196" s="273"/>
      <c r="N196" s="273"/>
      <c r="O196" s="101"/>
      <c r="P196" s="101"/>
    </row>
    <row r="197" spans="1:16" x14ac:dyDescent="0.2">
      <c r="A197" s="265"/>
      <c r="B197" s="71"/>
      <c r="C197" s="287"/>
      <c r="D197" s="273"/>
      <c r="E197" s="101"/>
      <c r="F197" s="101"/>
      <c r="G197" s="101"/>
      <c r="H197" s="275"/>
      <c r="I197" s="276"/>
      <c r="J197" s="273"/>
      <c r="K197" s="273"/>
      <c r="L197" s="273"/>
      <c r="M197" s="273"/>
      <c r="N197" s="273"/>
      <c r="O197" s="101"/>
      <c r="P197" s="101"/>
    </row>
    <row r="198" spans="1:16" x14ac:dyDescent="0.2">
      <c r="A198" s="265"/>
      <c r="B198" s="263" t="s">
        <v>665</v>
      </c>
      <c r="C198" s="287"/>
      <c r="D198" s="273"/>
      <c r="E198" s="101"/>
      <c r="F198" s="101"/>
      <c r="G198" s="101"/>
      <c r="H198" s="275"/>
      <c r="I198" s="276"/>
      <c r="J198" s="273"/>
      <c r="K198" s="273"/>
      <c r="L198" s="273"/>
      <c r="M198" s="273"/>
      <c r="N198" s="273"/>
      <c r="O198" s="101"/>
      <c r="P198" s="101"/>
    </row>
    <row r="199" spans="1:16" x14ac:dyDescent="0.2">
      <c r="A199" s="265"/>
      <c r="B199" s="71" t="s">
        <v>668</v>
      </c>
      <c r="C199" s="273">
        <f>I170+I171+I172+I173+I174</f>
        <v>471.04999999999995</v>
      </c>
      <c r="D199" s="273"/>
      <c r="E199" s="101"/>
      <c r="F199" s="101"/>
      <c r="G199" s="101"/>
      <c r="H199" s="275"/>
      <c r="I199" s="276"/>
      <c r="J199" s="273"/>
      <c r="K199" s="273"/>
      <c r="L199" s="273"/>
      <c r="M199" s="273"/>
      <c r="N199" s="273"/>
      <c r="O199" s="101"/>
      <c r="P199" s="101"/>
    </row>
    <row r="200" spans="1:16" x14ac:dyDescent="0.2">
      <c r="A200" s="265"/>
      <c r="B200" s="71" t="s">
        <v>669</v>
      </c>
      <c r="C200" s="273">
        <f>I175</f>
        <v>15.5</v>
      </c>
      <c r="D200" s="273"/>
      <c r="E200" s="101"/>
      <c r="F200" s="101"/>
      <c r="G200" s="101"/>
      <c r="H200" s="275"/>
      <c r="I200" s="276"/>
      <c r="J200" s="273"/>
      <c r="K200" s="273"/>
      <c r="L200" s="273"/>
      <c r="M200" s="273"/>
      <c r="N200" s="273"/>
      <c r="O200" s="101"/>
      <c r="P200" s="101"/>
    </row>
    <row r="201" spans="1:16" x14ac:dyDescent="0.2">
      <c r="A201" s="265"/>
      <c r="B201" s="101" t="s">
        <v>306</v>
      </c>
      <c r="C201" s="273">
        <f>I176</f>
        <v>300</v>
      </c>
      <c r="D201" s="273"/>
      <c r="E201" s="101"/>
      <c r="F201" s="101"/>
      <c r="G201" s="101"/>
      <c r="H201" s="275"/>
      <c r="I201" s="276"/>
      <c r="J201" s="273"/>
      <c r="K201" s="273"/>
      <c r="L201" s="273"/>
      <c r="M201" s="273"/>
      <c r="N201" s="273"/>
      <c r="O201" s="101"/>
      <c r="P201" s="101"/>
    </row>
    <row r="202" spans="1:16" x14ac:dyDescent="0.2">
      <c r="A202" s="265"/>
      <c r="B202" s="71"/>
      <c r="C202" s="287"/>
      <c r="D202" s="273">
        <f>SUM(C199:C201)</f>
        <v>786.55</v>
      </c>
      <c r="E202" s="101"/>
      <c r="F202" s="101"/>
      <c r="G202" s="101"/>
      <c r="H202" s="275"/>
      <c r="I202" s="276"/>
      <c r="J202" s="273"/>
      <c r="K202" s="273"/>
      <c r="L202" s="273"/>
      <c r="M202" s="273"/>
      <c r="N202" s="273"/>
      <c r="O202" s="101"/>
      <c r="P202" s="101"/>
    </row>
    <row r="203" spans="1:16" x14ac:dyDescent="0.2">
      <c r="A203" s="265"/>
      <c r="B203" s="71"/>
      <c r="C203" s="287"/>
      <c r="D203" s="273"/>
      <c r="E203" s="101"/>
      <c r="F203" s="101"/>
      <c r="G203" s="101"/>
      <c r="H203" s="275"/>
      <c r="I203" s="276"/>
      <c r="J203" s="273"/>
      <c r="K203" s="273"/>
      <c r="L203" s="273"/>
      <c r="M203" s="273"/>
      <c r="N203" s="273"/>
      <c r="O203" s="101"/>
      <c r="P203" s="101"/>
    </row>
    <row r="204" spans="1:16" x14ac:dyDescent="0.2">
      <c r="A204" s="265"/>
      <c r="B204" s="71"/>
      <c r="C204" s="287"/>
      <c r="D204" s="273"/>
      <c r="E204" s="101"/>
      <c r="F204" s="101"/>
      <c r="G204" s="101"/>
      <c r="H204" s="275"/>
      <c r="I204" s="276"/>
      <c r="J204" s="273"/>
      <c r="K204" s="273"/>
      <c r="L204" s="273"/>
      <c r="M204" s="273"/>
      <c r="N204" s="273"/>
      <c r="O204" s="101"/>
      <c r="P204" s="101"/>
    </row>
    <row r="205" spans="1:16" x14ac:dyDescent="0.2">
      <c r="A205" s="265"/>
      <c r="B205" s="71"/>
      <c r="C205" s="287"/>
      <c r="D205" s="273"/>
      <c r="E205" s="101"/>
      <c r="F205" s="101"/>
      <c r="G205" s="101"/>
      <c r="H205" s="275"/>
      <c r="I205" s="276"/>
      <c r="J205" s="273"/>
      <c r="K205" s="273"/>
      <c r="L205" s="273"/>
      <c r="M205" s="273"/>
      <c r="N205" s="273"/>
      <c r="O205" s="101"/>
      <c r="P205" s="101"/>
    </row>
    <row r="206" spans="1:16" x14ac:dyDescent="0.2">
      <c r="A206" s="265"/>
      <c r="B206" s="71"/>
      <c r="C206" s="287"/>
      <c r="D206" s="273"/>
      <c r="E206" s="101"/>
      <c r="F206" s="101"/>
      <c r="G206" s="101"/>
      <c r="H206" s="275"/>
      <c r="I206" s="276"/>
      <c r="J206" s="273"/>
      <c r="K206" s="273"/>
      <c r="L206" s="273"/>
      <c r="M206" s="273"/>
      <c r="N206" s="273"/>
      <c r="O206" s="101"/>
      <c r="P206" s="101"/>
    </row>
    <row r="207" spans="1:16" x14ac:dyDescent="0.2">
      <c r="A207" s="265"/>
      <c r="B207" s="71"/>
      <c r="C207" s="287"/>
      <c r="D207" s="273"/>
      <c r="E207" s="101"/>
      <c r="F207" s="101"/>
      <c r="G207" s="101"/>
      <c r="H207" s="275"/>
      <c r="I207" s="276"/>
      <c r="J207" s="273"/>
      <c r="K207" s="273"/>
      <c r="L207" s="273"/>
      <c r="M207" s="273"/>
      <c r="N207" s="273"/>
      <c r="O207" s="101"/>
      <c r="P207" s="101"/>
    </row>
    <row r="208" spans="1:16" x14ac:dyDescent="0.2">
      <c r="A208" s="265"/>
      <c r="B208" s="101"/>
      <c r="C208" s="101"/>
      <c r="D208" s="273"/>
      <c r="E208" s="101"/>
      <c r="F208" s="101"/>
      <c r="G208" s="101"/>
      <c r="H208" s="275"/>
      <c r="I208" s="276"/>
      <c r="J208" s="273"/>
      <c r="K208" s="273"/>
      <c r="L208" s="273"/>
      <c r="M208" s="273"/>
      <c r="N208" s="273"/>
      <c r="O208" s="101"/>
      <c r="P208" s="101"/>
    </row>
    <row r="209" spans="1:16" x14ac:dyDescent="0.2">
      <c r="A209" s="265"/>
      <c r="B209" s="101"/>
      <c r="C209" s="287"/>
      <c r="D209" s="273"/>
      <c r="E209" s="101"/>
      <c r="F209" s="101"/>
      <c r="G209" s="101"/>
      <c r="H209" s="275"/>
      <c r="I209" s="276"/>
      <c r="J209" s="273"/>
      <c r="K209" s="273"/>
      <c r="L209" s="273"/>
      <c r="M209" s="273"/>
      <c r="N209" s="273"/>
      <c r="O209" s="101"/>
      <c r="P209" s="101"/>
    </row>
    <row r="210" spans="1:16" x14ac:dyDescent="0.2">
      <c r="A210" s="265"/>
      <c r="B210" s="101"/>
      <c r="C210" s="287"/>
      <c r="D210" s="273"/>
      <c r="E210" s="101"/>
      <c r="F210" s="101"/>
      <c r="G210" s="101"/>
      <c r="H210" s="275"/>
      <c r="I210" s="276"/>
      <c r="J210" s="273"/>
      <c r="K210" s="273"/>
      <c r="L210" s="273"/>
      <c r="M210" s="273"/>
      <c r="N210" s="273"/>
      <c r="O210" s="101"/>
      <c r="P210" s="101"/>
    </row>
    <row r="211" spans="1:16" x14ac:dyDescent="0.2">
      <c r="A211" s="265"/>
      <c r="B211" s="71"/>
      <c r="C211" s="287"/>
      <c r="D211" s="273"/>
      <c r="E211" s="101"/>
      <c r="F211" s="101"/>
      <c r="G211" s="101"/>
      <c r="H211" s="275"/>
      <c r="I211" s="276"/>
      <c r="J211" s="273"/>
      <c r="K211" s="273"/>
      <c r="L211" s="273"/>
      <c r="M211" s="273"/>
      <c r="N211" s="273"/>
      <c r="O211" s="101"/>
      <c r="P211" s="101"/>
    </row>
    <row r="212" spans="1:16" x14ac:dyDescent="0.2">
      <c r="A212" s="285" t="s">
        <v>666</v>
      </c>
      <c r="B212" s="286" t="s">
        <v>667</v>
      </c>
      <c r="C212" s="287"/>
      <c r="D212" s="397">
        <f>D192-D195+D202</f>
        <v>20096.629999999994</v>
      </c>
      <c r="E212" s="101"/>
      <c r="F212" s="101"/>
      <c r="G212" s="101"/>
      <c r="H212" s="275"/>
      <c r="I212" s="276"/>
      <c r="J212" s="273"/>
      <c r="K212" s="273"/>
      <c r="L212" s="273"/>
      <c r="M212" s="273"/>
      <c r="N212" s="273"/>
      <c r="O212" s="101"/>
      <c r="P212" s="101"/>
    </row>
    <row r="213" spans="1:16" x14ac:dyDescent="0.2">
      <c r="A213" s="265"/>
      <c r="B213" s="101"/>
      <c r="C213" s="131">
        <v>20096.63</v>
      </c>
      <c r="D213" s="101"/>
      <c r="E213" s="101"/>
      <c r="F213" s="101"/>
      <c r="G213" s="101"/>
      <c r="H213" s="275"/>
      <c r="I213" s="276"/>
      <c r="J213" s="273"/>
      <c r="K213" s="273"/>
      <c r="L213" s="273"/>
      <c r="M213" s="273"/>
      <c r="N213" s="273"/>
      <c r="O213" s="101"/>
      <c r="P213" s="101"/>
    </row>
    <row r="214" spans="1:16" x14ac:dyDescent="0.2">
      <c r="C214" s="89"/>
    </row>
  </sheetData>
  <autoFilter ref="A4:Q183" xr:uid="{2C7985B9-B4AC-C749-AE6A-6A8CA78A7568}"/>
  <mergeCells count="5">
    <mergeCell ref="H3:I3"/>
    <mergeCell ref="J3:N3"/>
    <mergeCell ref="H186:I186"/>
    <mergeCell ref="H188:I188"/>
    <mergeCell ref="H190:I19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77F40-607C-2241-B26D-E3DA6AF9A902}">
  <dimension ref="A1:G24"/>
  <sheetViews>
    <sheetView topLeftCell="A2" zoomScale="140" zoomScaleNormal="140" workbookViewId="0">
      <selection activeCell="C18" sqref="C18"/>
    </sheetView>
  </sheetViews>
  <sheetFormatPr baseColWidth="10" defaultRowHeight="15" x14ac:dyDescent="0.2"/>
  <cols>
    <col min="1" max="1" width="14" customWidth="1"/>
    <col min="6" max="6" width="6.83203125" customWidth="1"/>
  </cols>
  <sheetData>
    <row r="1" spans="1:7" x14ac:dyDescent="0.2">
      <c r="A1" t="s">
        <v>699</v>
      </c>
    </row>
    <row r="3" spans="1:7" x14ac:dyDescent="0.2">
      <c r="A3" s="71" t="s">
        <v>698</v>
      </c>
      <c r="B3" s="71" t="s">
        <v>696</v>
      </c>
      <c r="C3" s="71" t="s">
        <v>741</v>
      </c>
      <c r="D3" s="71" t="s">
        <v>695</v>
      </c>
      <c r="E3" s="71" t="s">
        <v>695</v>
      </c>
      <c r="G3" t="s">
        <v>694</v>
      </c>
    </row>
    <row r="4" spans="1:7" x14ac:dyDescent="0.2">
      <c r="A4" s="71"/>
      <c r="B4" s="71" t="s">
        <v>693</v>
      </c>
      <c r="C4" s="71" t="s">
        <v>693</v>
      </c>
      <c r="D4" s="71" t="s">
        <v>693</v>
      </c>
      <c r="E4" s="71" t="s">
        <v>692</v>
      </c>
      <c r="G4" t="s">
        <v>691</v>
      </c>
    </row>
    <row r="5" spans="1:7" x14ac:dyDescent="0.2">
      <c r="A5" s="71" t="s">
        <v>690</v>
      </c>
      <c r="B5" s="71"/>
      <c r="C5" s="71"/>
      <c r="D5" s="71"/>
      <c r="E5" s="71"/>
    </row>
    <row r="6" spans="1:7" x14ac:dyDescent="0.2">
      <c r="A6" s="71" t="s">
        <v>689</v>
      </c>
      <c r="B6" s="293">
        <v>33214.810000000005</v>
      </c>
      <c r="C6" s="293">
        <f>'AGAR CheckCalcs'!O189</f>
        <v>13953.849999999999</v>
      </c>
      <c r="D6" s="293">
        <f>C6-B6</f>
        <v>-19260.960000000006</v>
      </c>
      <c r="E6" s="292">
        <f>D6/B6</f>
        <v>-0.57989071742394438</v>
      </c>
    </row>
    <row r="7" spans="1:7" x14ac:dyDescent="0.2">
      <c r="A7" s="71" t="s">
        <v>688</v>
      </c>
      <c r="B7" s="293"/>
      <c r="C7" s="293"/>
      <c r="D7" s="293"/>
      <c r="E7" s="71"/>
    </row>
    <row r="8" spans="1:7" x14ac:dyDescent="0.2">
      <c r="A8" s="71" t="s">
        <v>649</v>
      </c>
      <c r="B8" s="293">
        <v>25000</v>
      </c>
      <c r="C8" s="293">
        <f>'AGAR CheckCalcs'!J190</f>
        <v>25000</v>
      </c>
      <c r="D8" s="293">
        <f>C8-B8</f>
        <v>0</v>
      </c>
      <c r="E8" s="292">
        <f>D8/B8</f>
        <v>0</v>
      </c>
    </row>
    <row r="9" spans="1:7" x14ac:dyDescent="0.2">
      <c r="A9" s="71" t="s">
        <v>687</v>
      </c>
      <c r="B9" s="293"/>
      <c r="C9" s="293"/>
      <c r="D9" s="293"/>
      <c r="E9" s="71"/>
    </row>
    <row r="10" spans="1:7" x14ac:dyDescent="0.2">
      <c r="A10" s="71" t="s">
        <v>650</v>
      </c>
      <c r="B10" s="293">
        <v>8131.5499999999993</v>
      </c>
      <c r="C10" s="293">
        <f>'AGAR CheckCalcs'!K190</f>
        <v>14509.879999999997</v>
      </c>
      <c r="D10" s="293">
        <f>C10-B10</f>
        <v>6378.3299999999981</v>
      </c>
      <c r="E10" s="292">
        <f>D10/B10</f>
        <v>0.78439288942452534</v>
      </c>
      <c r="G10" t="s">
        <v>686</v>
      </c>
    </row>
    <row r="11" spans="1:7" x14ac:dyDescent="0.2">
      <c r="A11" s="71" t="s">
        <v>685</v>
      </c>
      <c r="B11" s="293"/>
      <c r="C11" s="293"/>
      <c r="D11" s="293"/>
      <c r="E11" s="71"/>
    </row>
    <row r="12" spans="1:7" x14ac:dyDescent="0.2">
      <c r="A12" s="71" t="s">
        <v>684</v>
      </c>
      <c r="B12" s="293">
        <v>5270.4000000000005</v>
      </c>
      <c r="C12" s="293">
        <f>'AGAR CheckCalcs'!L190</f>
        <v>5323.2</v>
      </c>
      <c r="D12" s="293">
        <f>C12-B12</f>
        <v>52.799999999999272</v>
      </c>
      <c r="E12" s="292">
        <f>D12/B12</f>
        <v>1.0018214936247584E-2</v>
      </c>
      <c r="G12" t="s">
        <v>683</v>
      </c>
    </row>
    <row r="13" spans="1:7" x14ac:dyDescent="0.2">
      <c r="A13" s="71" t="s">
        <v>682</v>
      </c>
      <c r="B13" s="293"/>
      <c r="C13" s="293"/>
      <c r="D13" s="293"/>
      <c r="E13" s="71"/>
    </row>
    <row r="14" spans="1:7" x14ac:dyDescent="0.2">
      <c r="A14" s="71" t="s">
        <v>681</v>
      </c>
      <c r="B14" s="293">
        <v>0</v>
      </c>
      <c r="C14" s="293">
        <v>0</v>
      </c>
      <c r="D14" s="293">
        <f>C14-B14</f>
        <v>0</v>
      </c>
      <c r="E14" s="292">
        <v>0</v>
      </c>
      <c r="G14" t="s">
        <v>680</v>
      </c>
    </row>
    <row r="15" spans="1:7" x14ac:dyDescent="0.2">
      <c r="A15" s="71" t="s">
        <v>679</v>
      </c>
      <c r="B15" s="293"/>
      <c r="C15" s="293"/>
      <c r="D15" s="293"/>
      <c r="E15" s="71"/>
    </row>
    <row r="16" spans="1:7" x14ac:dyDescent="0.2">
      <c r="A16" s="71" t="s">
        <v>678</v>
      </c>
      <c r="B16" s="293">
        <v>47122.109999999993</v>
      </c>
      <c r="C16" s="293">
        <f>'AGAR CheckCalcs'!M190</f>
        <v>28830.450000000004</v>
      </c>
      <c r="D16" s="293">
        <f>C16-B16</f>
        <v>-18291.659999999989</v>
      </c>
      <c r="E16" s="292">
        <f>D16/B16</f>
        <v>-0.38817574170596331</v>
      </c>
      <c r="G16" t="s">
        <v>677</v>
      </c>
    </row>
    <row r="17" spans="1:7" x14ac:dyDescent="0.2">
      <c r="A17" s="71" t="s">
        <v>662</v>
      </c>
      <c r="B17" s="293"/>
      <c r="C17" s="293"/>
      <c r="D17" s="293"/>
      <c r="E17" s="71"/>
    </row>
    <row r="18" spans="1:7" x14ac:dyDescent="0.2">
      <c r="A18" s="71" t="s">
        <v>676</v>
      </c>
      <c r="B18" s="293">
        <v>13953.850000000013</v>
      </c>
      <c r="C18" s="293">
        <f>'AGAR CheckCalcs'!O191</f>
        <v>19310.079999999994</v>
      </c>
      <c r="D18" s="293">
        <f>B6-B18</f>
        <v>19260.959999999992</v>
      </c>
      <c r="E18" s="292">
        <f>D18/B18</f>
        <v>1.3803330263690647</v>
      </c>
    </row>
    <row r="19" spans="1:7" x14ac:dyDescent="0.2">
      <c r="A19" s="71" t="s">
        <v>666</v>
      </c>
      <c r="B19" s="293"/>
      <c r="C19" s="293"/>
      <c r="D19" s="293"/>
      <c r="E19" s="71"/>
    </row>
    <row r="20" spans="1:7" x14ac:dyDescent="0.2">
      <c r="A20" s="71" t="s">
        <v>675</v>
      </c>
      <c r="B20" s="293">
        <v>15762.72</v>
      </c>
      <c r="C20" s="293">
        <f>'Bank Rec'!D11</f>
        <v>20096.63</v>
      </c>
      <c r="D20" s="293">
        <f>C20-B20</f>
        <v>4333.9100000000017</v>
      </c>
      <c r="E20" s="292">
        <f>D20/B20</f>
        <v>0.27494683658657909</v>
      </c>
    </row>
    <row r="21" spans="1:7" x14ac:dyDescent="0.2">
      <c r="A21" s="71" t="s">
        <v>674</v>
      </c>
      <c r="B21" s="293"/>
      <c r="C21" s="293"/>
      <c r="D21" s="293"/>
      <c r="E21" s="71"/>
    </row>
    <row r="22" spans="1:7" x14ac:dyDescent="0.2">
      <c r="A22" s="71" t="s">
        <v>673</v>
      </c>
      <c r="B22" s="293">
        <v>45196</v>
      </c>
      <c r="C22" s="293">
        <v>55183</v>
      </c>
      <c r="D22" s="293">
        <f>C22-B22</f>
        <v>9987</v>
      </c>
      <c r="E22" s="292">
        <f>D22/B22</f>
        <v>0.22097088237897158</v>
      </c>
      <c r="G22" t="s">
        <v>672</v>
      </c>
    </row>
    <row r="23" spans="1:7" x14ac:dyDescent="0.2">
      <c r="A23" s="71" t="s">
        <v>671</v>
      </c>
      <c r="B23" s="293"/>
      <c r="C23" s="293"/>
      <c r="D23" s="293"/>
      <c r="E23" s="71"/>
    </row>
    <row r="24" spans="1:7" x14ac:dyDescent="0.2">
      <c r="A24" s="71" t="s">
        <v>670</v>
      </c>
      <c r="B24" s="293">
        <v>0</v>
      </c>
      <c r="C24" s="293">
        <v>0</v>
      </c>
      <c r="D24" s="293">
        <f>C24-B24</f>
        <v>0</v>
      </c>
      <c r="E24" s="29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52675-5C60-6E41-A8E9-CD3873D50EC0}">
  <dimension ref="A1:F8"/>
  <sheetViews>
    <sheetView zoomScale="140" zoomScaleNormal="140" workbookViewId="0">
      <selection activeCell="D8" sqref="D8"/>
    </sheetView>
  </sheetViews>
  <sheetFormatPr baseColWidth="10" defaultRowHeight="15" x14ac:dyDescent="0.2"/>
  <cols>
    <col min="6" max="6" width="35.33203125" customWidth="1"/>
  </cols>
  <sheetData>
    <row r="1" spans="1:6" x14ac:dyDescent="0.2">
      <c r="A1" s="309" t="s">
        <v>702</v>
      </c>
      <c r="B1" s="296"/>
      <c r="C1" s="296"/>
      <c r="D1" s="296"/>
      <c r="E1" s="304"/>
      <c r="F1" s="296"/>
    </row>
    <row r="2" spans="1:6" x14ac:dyDescent="0.2">
      <c r="A2" s="309"/>
      <c r="B2" s="296"/>
      <c r="C2" s="296"/>
      <c r="D2" s="296"/>
      <c r="E2" s="304"/>
      <c r="F2" s="296"/>
    </row>
    <row r="3" spans="1:6" x14ac:dyDescent="0.2">
      <c r="A3" s="308" t="s">
        <v>688</v>
      </c>
      <c r="B3" s="307" t="s">
        <v>649</v>
      </c>
      <c r="D3" s="306"/>
      <c r="E3" s="305"/>
    </row>
    <row r="4" spans="1:6" x14ac:dyDescent="0.2">
      <c r="A4" s="296"/>
      <c r="B4" s="296"/>
      <c r="C4" s="304"/>
      <c r="D4" s="304"/>
      <c r="E4" s="304"/>
      <c r="F4" s="304"/>
    </row>
    <row r="5" spans="1:6" x14ac:dyDescent="0.2">
      <c r="A5" s="303"/>
      <c r="B5" s="302"/>
      <c r="C5" s="180" t="s">
        <v>696</v>
      </c>
      <c r="D5" s="180" t="s">
        <v>741</v>
      </c>
      <c r="E5" s="301" t="s">
        <v>701</v>
      </c>
      <c r="F5" s="301" t="s">
        <v>700</v>
      </c>
    </row>
    <row r="6" spans="1:6" x14ac:dyDescent="0.2">
      <c r="A6" s="296"/>
      <c r="B6" s="294"/>
      <c r="C6" s="300"/>
      <c r="D6" s="300"/>
      <c r="E6" s="300"/>
      <c r="F6" s="294"/>
    </row>
    <row r="7" spans="1:6" ht="20" customHeight="1" x14ac:dyDescent="0.2">
      <c r="A7" s="296"/>
      <c r="B7" s="299" t="s">
        <v>649</v>
      </c>
      <c r="C7" s="298">
        <v>25000</v>
      </c>
      <c r="D7" s="298">
        <f>'Budget Status 2023-24'!F5</f>
        <v>25000</v>
      </c>
      <c r="E7" s="298">
        <f>-(C7-D7)</f>
        <v>0</v>
      </c>
      <c r="F7" s="297"/>
    </row>
    <row r="8" spans="1:6" x14ac:dyDescent="0.2">
      <c r="A8" s="296"/>
      <c r="B8" s="294"/>
      <c r="C8" s="295">
        <f>SUM(C7:C7)</f>
        <v>25000</v>
      </c>
      <c r="D8" s="295">
        <f>SUM(D7:D7)</f>
        <v>25000</v>
      </c>
      <c r="E8" s="295">
        <f>-(C8-D8)</f>
        <v>0</v>
      </c>
      <c r="F8" s="294"/>
    </row>
  </sheetData>
  <phoneticPr fontId="2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5FBA7-3908-3244-827A-F0379F28B76E}">
  <dimension ref="A1:F10"/>
  <sheetViews>
    <sheetView topLeftCell="A2" zoomScale="140" zoomScaleNormal="140" workbookViewId="0">
      <selection activeCell="E18" sqref="E18"/>
    </sheetView>
  </sheetViews>
  <sheetFormatPr baseColWidth="10" defaultRowHeight="15" x14ac:dyDescent="0.2"/>
  <cols>
    <col min="2" max="2" width="14" customWidth="1"/>
    <col min="6" max="6" width="54.33203125" customWidth="1"/>
  </cols>
  <sheetData>
    <row r="1" spans="1:6" x14ac:dyDescent="0.2">
      <c r="A1" s="315" t="s">
        <v>708</v>
      </c>
      <c r="B1" s="316" t="s">
        <v>650</v>
      </c>
      <c r="D1" s="305"/>
      <c r="E1" s="305"/>
      <c r="F1" s="315"/>
    </row>
    <row r="2" spans="1:6" x14ac:dyDescent="0.2">
      <c r="A2" s="296"/>
      <c r="B2" s="296"/>
      <c r="C2" s="304"/>
      <c r="D2" s="304"/>
      <c r="E2" s="304"/>
      <c r="F2" s="296"/>
    </row>
    <row r="3" spans="1:6" x14ac:dyDescent="0.2">
      <c r="A3" s="303"/>
      <c r="B3" s="394"/>
      <c r="C3" s="180" t="s">
        <v>696</v>
      </c>
      <c r="D3" s="180" t="s">
        <v>741</v>
      </c>
      <c r="E3" s="301" t="s">
        <v>701</v>
      </c>
      <c r="F3" s="314" t="s">
        <v>700</v>
      </c>
    </row>
    <row r="4" spans="1:6" x14ac:dyDescent="0.2">
      <c r="A4" s="303"/>
      <c r="B4" s="394"/>
      <c r="C4" s="313"/>
      <c r="D4" s="313"/>
      <c r="E4" s="313"/>
      <c r="F4" s="302"/>
    </row>
    <row r="5" spans="1:6" x14ac:dyDescent="0.2">
      <c r="A5" s="296"/>
      <c r="B5" s="395" t="s">
        <v>707</v>
      </c>
      <c r="C5" s="312">
        <v>350</v>
      </c>
      <c r="D5" s="312">
        <f>'Budget Status 2023-24'!F6</f>
        <v>350</v>
      </c>
      <c r="E5" s="311">
        <f t="shared" ref="E5:E10" si="0">-(C5-D5)</f>
        <v>0</v>
      </c>
      <c r="F5" s="294"/>
    </row>
    <row r="6" spans="1:6" x14ac:dyDescent="0.2">
      <c r="A6" s="296"/>
      <c r="B6" s="395" t="s">
        <v>706</v>
      </c>
      <c r="C6" s="312">
        <v>0</v>
      </c>
      <c r="D6" s="312">
        <f>'Budget Status 2023-24'!F7</f>
        <v>9000</v>
      </c>
      <c r="E6" s="311">
        <f t="shared" si="0"/>
        <v>9000</v>
      </c>
      <c r="F6" s="294" t="s">
        <v>749</v>
      </c>
    </row>
    <row r="7" spans="1:6" ht="30" x14ac:dyDescent="0.2">
      <c r="A7" s="296"/>
      <c r="B7" s="395" t="s">
        <v>705</v>
      </c>
      <c r="C7" s="312">
        <v>1807.06</v>
      </c>
      <c r="D7" s="312">
        <f>'Budget Status 2023-24'!F8</f>
        <v>1033.33</v>
      </c>
      <c r="E7" s="311">
        <f t="shared" si="0"/>
        <v>-773.73</v>
      </c>
      <c r="F7" s="392" t="s">
        <v>762</v>
      </c>
    </row>
    <row r="8" spans="1:6" x14ac:dyDescent="0.2">
      <c r="A8" s="296"/>
      <c r="B8" s="395" t="s">
        <v>704</v>
      </c>
      <c r="C8" s="311">
        <v>0</v>
      </c>
      <c r="D8" s="311"/>
      <c r="E8" s="311">
        <f t="shared" si="0"/>
        <v>0</v>
      </c>
      <c r="F8" s="294"/>
    </row>
    <row r="9" spans="1:6" x14ac:dyDescent="0.2">
      <c r="A9" s="296"/>
      <c r="B9" s="395" t="s">
        <v>703</v>
      </c>
      <c r="C9" s="312">
        <v>5974.49</v>
      </c>
      <c r="D9" s="312">
        <f>'Budget Status 2023-24'!F9</f>
        <v>4126.55</v>
      </c>
      <c r="E9" s="311">
        <f t="shared" si="0"/>
        <v>-1847.9399999999996</v>
      </c>
      <c r="F9" s="294" t="s">
        <v>751</v>
      </c>
    </row>
    <row r="10" spans="1:6" x14ac:dyDescent="0.2">
      <c r="A10" s="296"/>
      <c r="B10" s="391"/>
      <c r="C10" s="310">
        <v>8131.5499999999993</v>
      </c>
      <c r="D10" s="310">
        <f>SUM(D5:D9)</f>
        <v>14509.880000000001</v>
      </c>
      <c r="E10" s="310">
        <f t="shared" si="0"/>
        <v>6378.3300000000017</v>
      </c>
      <c r="F10" s="294"/>
    </row>
  </sheetData>
  <phoneticPr fontId="2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7BE66-314C-F643-9AB5-4717CAEE5235}">
  <dimension ref="A1:F9"/>
  <sheetViews>
    <sheetView zoomScale="140" zoomScaleNormal="140" workbookViewId="0">
      <selection activeCell="D9" sqref="D9"/>
    </sheetView>
  </sheetViews>
  <sheetFormatPr baseColWidth="10" defaultRowHeight="15" x14ac:dyDescent="0.2"/>
  <cols>
    <col min="2" max="2" width="31.5" customWidth="1"/>
    <col min="6" max="6" width="43.5" customWidth="1"/>
  </cols>
  <sheetData>
    <row r="1" spans="1:6" x14ac:dyDescent="0.2">
      <c r="A1" s="309" t="s">
        <v>702</v>
      </c>
      <c r="B1" s="296"/>
      <c r="C1" s="296"/>
      <c r="D1" s="304"/>
      <c r="E1" s="304"/>
    </row>
    <row r="2" spans="1:6" x14ac:dyDescent="0.2">
      <c r="A2" s="309"/>
      <c r="B2" s="296"/>
      <c r="C2" s="296"/>
      <c r="D2" s="304"/>
      <c r="E2" s="304"/>
    </row>
    <row r="3" spans="1:6" x14ac:dyDescent="0.2">
      <c r="A3" s="315" t="s">
        <v>685</v>
      </c>
      <c r="B3" s="316" t="s">
        <v>684</v>
      </c>
      <c r="C3" s="315"/>
      <c r="D3" s="315"/>
      <c r="E3" s="315"/>
    </row>
    <row r="4" spans="1:6" x14ac:dyDescent="0.2">
      <c r="A4" s="296"/>
      <c r="B4" s="296"/>
      <c r="C4" s="296"/>
      <c r="D4" s="296"/>
      <c r="E4" s="296"/>
    </row>
    <row r="5" spans="1:6" x14ac:dyDescent="0.2">
      <c r="A5" s="303"/>
      <c r="B5" s="302"/>
      <c r="C5" s="180" t="s">
        <v>697</v>
      </c>
      <c r="D5" s="180" t="s">
        <v>696</v>
      </c>
      <c r="E5" s="301" t="s">
        <v>701</v>
      </c>
      <c r="F5" s="314" t="s">
        <v>700</v>
      </c>
    </row>
    <row r="6" spans="1:6" x14ac:dyDescent="0.2">
      <c r="A6" s="296"/>
      <c r="B6" s="294"/>
      <c r="C6" s="320"/>
      <c r="D6" s="320"/>
      <c r="E6" s="300"/>
      <c r="F6" s="71"/>
    </row>
    <row r="7" spans="1:6" x14ac:dyDescent="0.2">
      <c r="A7" s="296"/>
      <c r="B7" s="319" t="s">
        <v>711</v>
      </c>
      <c r="C7" s="311">
        <v>3615.3599999999992</v>
      </c>
      <c r="D7" s="311">
        <f>'Budget Status 2023-24'!F13</f>
        <v>3726.24</v>
      </c>
      <c r="E7" s="318">
        <f>-(C7-D7)</f>
        <v>110.88000000000056</v>
      </c>
      <c r="F7" s="71"/>
    </row>
    <row r="8" spans="1:6" x14ac:dyDescent="0.2">
      <c r="A8" s="296"/>
      <c r="B8" s="319" t="s">
        <v>710</v>
      </c>
      <c r="C8" s="311">
        <v>1549.4399999999994</v>
      </c>
      <c r="D8" s="311">
        <f>'Budget Status 2023-24'!F15</f>
        <v>1596.9599999999998</v>
      </c>
      <c r="E8" s="318">
        <f>-(C8-D8)</f>
        <v>47.520000000000437</v>
      </c>
      <c r="F8" s="71"/>
    </row>
    <row r="9" spans="1:6" x14ac:dyDescent="0.2">
      <c r="A9" s="296"/>
      <c r="B9" s="294"/>
      <c r="C9" s="295">
        <f>SUM(C7:C8)</f>
        <v>5164.7999999999984</v>
      </c>
      <c r="D9" s="295">
        <f>SUM(D7:D8)</f>
        <v>5323.2</v>
      </c>
      <c r="E9" s="317">
        <f>-(C9-D9)</f>
        <v>158.40000000000146</v>
      </c>
      <c r="F9" s="71" t="s">
        <v>709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90A6C-EDDB-7948-AE19-4950B8D76813}">
  <dimension ref="A1:F8"/>
  <sheetViews>
    <sheetView zoomScale="140" zoomScaleNormal="140" workbookViewId="0">
      <selection activeCell="C5" sqref="C5:D5"/>
    </sheetView>
  </sheetViews>
  <sheetFormatPr baseColWidth="10" defaultRowHeight="15" x14ac:dyDescent="0.2"/>
  <cols>
    <col min="2" max="2" width="18.1640625" customWidth="1"/>
    <col min="3" max="3" width="14.83203125" customWidth="1"/>
    <col min="5" max="5" width="11.1640625" customWidth="1"/>
    <col min="6" max="6" width="20.5" customWidth="1"/>
  </cols>
  <sheetData>
    <row r="1" spans="1:6" x14ac:dyDescent="0.2">
      <c r="A1" s="309" t="s">
        <v>699</v>
      </c>
      <c r="B1" s="296"/>
      <c r="C1" s="296"/>
      <c r="D1" s="296"/>
    </row>
    <row r="2" spans="1:6" x14ac:dyDescent="0.2">
      <c r="A2" s="309"/>
      <c r="B2" s="296"/>
      <c r="C2" s="296"/>
      <c r="D2" s="296"/>
    </row>
    <row r="3" spans="1:6" x14ac:dyDescent="0.2">
      <c r="A3" s="315" t="s">
        <v>671</v>
      </c>
      <c r="B3" s="316" t="s">
        <v>670</v>
      </c>
      <c r="D3" s="315"/>
    </row>
    <row r="4" spans="1:6" x14ac:dyDescent="0.2">
      <c r="A4" s="296"/>
      <c r="B4" s="296"/>
      <c r="C4" s="323"/>
      <c r="D4" s="296"/>
    </row>
    <row r="5" spans="1:6" x14ac:dyDescent="0.2">
      <c r="A5" s="303"/>
      <c r="B5" s="303"/>
      <c r="C5" s="325" t="s">
        <v>696</v>
      </c>
      <c r="D5" s="393" t="s">
        <v>741</v>
      </c>
      <c r="E5" s="301" t="s">
        <v>701</v>
      </c>
      <c r="F5" s="286" t="s">
        <v>712</v>
      </c>
    </row>
    <row r="6" spans="1:6" x14ac:dyDescent="0.2">
      <c r="A6" s="296"/>
      <c r="B6" s="315" t="s">
        <v>682</v>
      </c>
      <c r="C6" s="322">
        <v>0</v>
      </c>
      <c r="D6" s="322">
        <v>0</v>
      </c>
      <c r="E6" s="324"/>
      <c r="F6" s="71"/>
    </row>
    <row r="7" spans="1:6" x14ac:dyDescent="0.2">
      <c r="A7" s="296"/>
      <c r="B7" s="323"/>
      <c r="C7" s="322">
        <v>0</v>
      </c>
      <c r="D7" s="322">
        <v>0</v>
      </c>
      <c r="E7" s="71"/>
      <c r="F7" s="71"/>
    </row>
    <row r="8" spans="1:6" x14ac:dyDescent="0.2">
      <c r="A8" s="296"/>
      <c r="B8" s="296"/>
      <c r="C8" s="321">
        <f>SUM(C6:C7)</f>
        <v>0</v>
      </c>
      <c r="D8" s="321">
        <f>SUM(D6:D7)</f>
        <v>0</v>
      </c>
      <c r="E8" s="71"/>
      <c r="F8" s="7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B080B-7B82-474B-9227-D4F15784A989}">
  <dimension ref="A1:G23"/>
  <sheetViews>
    <sheetView topLeftCell="A6" zoomScale="140" zoomScaleNormal="140" workbookViewId="0">
      <selection activeCell="D22" sqref="D22"/>
    </sheetView>
  </sheetViews>
  <sheetFormatPr baseColWidth="10" defaultRowHeight="15" x14ac:dyDescent="0.2"/>
  <cols>
    <col min="1" max="1" width="10.83203125" style="326"/>
    <col min="2" max="2" width="33.33203125" style="326" customWidth="1"/>
    <col min="3" max="3" width="10.83203125" style="326"/>
    <col min="4" max="4" width="11.6640625" style="327" bestFit="1" customWidth="1"/>
    <col min="5" max="5" width="10.83203125" style="326"/>
    <col min="6" max="6" width="47.83203125" style="326" customWidth="1"/>
    <col min="7" max="16384" width="10.83203125" style="326"/>
  </cols>
  <sheetData>
    <row r="1" spans="1:7" ht="61" customHeight="1" x14ac:dyDescent="0.2">
      <c r="A1" s="408" t="s">
        <v>699</v>
      </c>
      <c r="B1" s="408"/>
      <c r="C1" s="408"/>
      <c r="D1" s="355"/>
      <c r="E1" s="331"/>
      <c r="F1" s="354"/>
    </row>
    <row r="2" spans="1:7" x14ac:dyDescent="0.2">
      <c r="A2" s="356"/>
      <c r="B2" s="331"/>
      <c r="C2" s="331"/>
      <c r="D2" s="355"/>
      <c r="E2" s="331"/>
      <c r="F2" s="354"/>
    </row>
    <row r="3" spans="1:7" ht="46" customHeight="1" x14ac:dyDescent="0.2">
      <c r="A3" s="353" t="s">
        <v>679</v>
      </c>
      <c r="B3" s="352" t="s">
        <v>678</v>
      </c>
      <c r="F3" s="351"/>
    </row>
    <row r="4" spans="1:7" x14ac:dyDescent="0.2">
      <c r="A4" s="331"/>
      <c r="B4" s="331"/>
      <c r="C4" s="331"/>
      <c r="D4" s="350"/>
      <c r="E4" s="349"/>
      <c r="F4" s="348"/>
    </row>
    <row r="5" spans="1:7" ht="16" customHeight="1" x14ac:dyDescent="0.2">
      <c r="A5" s="347"/>
      <c r="B5" s="346"/>
      <c r="C5" s="325" t="s">
        <v>696</v>
      </c>
      <c r="D5" s="393" t="s">
        <v>741</v>
      </c>
      <c r="E5" s="346" t="s">
        <v>701</v>
      </c>
      <c r="F5" s="345" t="s">
        <v>712</v>
      </c>
      <c r="G5" s="344"/>
    </row>
    <row r="6" spans="1:7" x14ac:dyDescent="0.2">
      <c r="A6" s="331"/>
      <c r="B6" s="297"/>
      <c r="C6" s="341"/>
      <c r="D6" s="343"/>
      <c r="E6" s="342"/>
      <c r="F6" s="341"/>
    </row>
    <row r="7" spans="1:7" ht="48" customHeight="1" x14ac:dyDescent="0.2">
      <c r="A7" s="331"/>
      <c r="B7" s="337" t="s">
        <v>752</v>
      </c>
      <c r="C7" s="334">
        <v>1910.74</v>
      </c>
      <c r="D7" s="336">
        <f>'Budget Status 2023-24'!F17+'Budget Status 2023-24'!F18+'Budget Status 2023-24'!F26+'Budget Status 2023-24'!F46+'Budget Status 2023-24'!F48</f>
        <v>1947.88</v>
      </c>
      <c r="E7" s="328">
        <f t="shared" ref="E7:E21" si="0">C7-D7</f>
        <v>-37.1400000000001</v>
      </c>
      <c r="F7" s="332"/>
    </row>
    <row r="8" spans="1:7" ht="31" customHeight="1" x14ac:dyDescent="0.2">
      <c r="A8" s="331"/>
      <c r="B8" s="337" t="s">
        <v>723</v>
      </c>
      <c r="C8" s="334">
        <v>693.76</v>
      </c>
      <c r="D8" s="336">
        <f>'Budget Status 2023-24'!F28</f>
        <v>1097.98</v>
      </c>
      <c r="E8" s="328">
        <f t="shared" si="0"/>
        <v>-404.22</v>
      </c>
      <c r="F8" s="332" t="s">
        <v>753</v>
      </c>
    </row>
    <row r="9" spans="1:7" x14ac:dyDescent="0.2">
      <c r="A9" s="331"/>
      <c r="B9" s="337" t="s">
        <v>722</v>
      </c>
      <c r="C9" s="334">
        <v>0</v>
      </c>
      <c r="D9" s="336">
        <v>0</v>
      </c>
      <c r="E9" s="328">
        <f t="shared" si="0"/>
        <v>0</v>
      </c>
      <c r="F9" s="332" t="s">
        <v>721</v>
      </c>
    </row>
    <row r="10" spans="1:7" x14ac:dyDescent="0.2">
      <c r="A10" s="331"/>
      <c r="B10" s="337" t="s">
        <v>720</v>
      </c>
      <c r="C10" s="340">
        <v>514.1</v>
      </c>
      <c r="D10" s="336">
        <f>'Budget Status 2023-24'!F16</f>
        <v>349.76999999999992</v>
      </c>
      <c r="E10" s="328">
        <f t="shared" si="0"/>
        <v>164.3300000000001</v>
      </c>
      <c r="F10" s="332"/>
    </row>
    <row r="11" spans="1:7" x14ac:dyDescent="0.2">
      <c r="A11" s="331"/>
      <c r="B11" s="337" t="s">
        <v>170</v>
      </c>
      <c r="C11" s="334">
        <v>1734.9000000000003</v>
      </c>
      <c r="D11" s="336">
        <f>'Budget Status 2023-24'!F30+'Budget Status 2023-24'!F31</f>
        <v>1075.58</v>
      </c>
      <c r="E11" s="328">
        <f t="shared" si="0"/>
        <v>659.32000000000039</v>
      </c>
      <c r="F11" s="332" t="s">
        <v>754</v>
      </c>
    </row>
    <row r="12" spans="1:7" x14ac:dyDescent="0.2">
      <c r="A12" s="331"/>
      <c r="B12" s="337" t="s">
        <v>158</v>
      </c>
      <c r="C12" s="334">
        <v>0</v>
      </c>
      <c r="D12" s="336">
        <v>0</v>
      </c>
      <c r="E12" s="328">
        <f t="shared" si="0"/>
        <v>0</v>
      </c>
      <c r="F12" s="332"/>
    </row>
    <row r="13" spans="1:7" ht="18" customHeight="1" x14ac:dyDescent="0.2">
      <c r="A13" s="331"/>
      <c r="B13" s="337" t="s">
        <v>175</v>
      </c>
      <c r="C13" s="334">
        <v>8952.3700000000008</v>
      </c>
      <c r="D13" s="336">
        <f>'Budget Status 2023-24'!F42</f>
        <v>652.15</v>
      </c>
      <c r="E13" s="328">
        <f t="shared" si="0"/>
        <v>8300.2200000000012</v>
      </c>
      <c r="F13" s="332" t="s">
        <v>755</v>
      </c>
    </row>
    <row r="14" spans="1:7" x14ac:dyDescent="0.2">
      <c r="A14" s="331"/>
      <c r="B14" s="337" t="s">
        <v>28</v>
      </c>
      <c r="C14" s="334">
        <v>200.36</v>
      </c>
      <c r="D14" s="336">
        <f>'Budget Status 2023-24'!F21</f>
        <v>190.36</v>
      </c>
      <c r="E14" s="328">
        <f t="shared" si="0"/>
        <v>10</v>
      </c>
      <c r="F14" s="332" t="s">
        <v>756</v>
      </c>
    </row>
    <row r="15" spans="1:7" x14ac:dyDescent="0.2">
      <c r="A15" s="331"/>
      <c r="B15" s="337" t="s">
        <v>719</v>
      </c>
      <c r="C15" s="334">
        <v>365</v>
      </c>
      <c r="D15" s="336">
        <f>'Budget Status 2023-24'!F19</f>
        <v>525</v>
      </c>
      <c r="E15" s="328">
        <f t="shared" si="0"/>
        <v>-160</v>
      </c>
      <c r="F15" s="332" t="s">
        <v>757</v>
      </c>
    </row>
    <row r="16" spans="1:7" x14ac:dyDescent="0.2">
      <c r="A16" s="331"/>
      <c r="B16" s="339" t="s">
        <v>718</v>
      </c>
      <c r="C16" s="338">
        <v>692.5</v>
      </c>
      <c r="D16" s="336">
        <f>'Budget Status 2023-24'!F45</f>
        <v>501</v>
      </c>
      <c r="E16" s="328">
        <f t="shared" si="0"/>
        <v>191.5</v>
      </c>
      <c r="F16" s="297" t="s">
        <v>758</v>
      </c>
    </row>
    <row r="17" spans="1:6" x14ac:dyDescent="0.2">
      <c r="A17" s="331"/>
      <c r="B17" s="337" t="s">
        <v>717</v>
      </c>
      <c r="C17" s="334">
        <v>12.6</v>
      </c>
      <c r="D17" s="336">
        <f>'Budget Status 2023-24'!F27</f>
        <v>380.85</v>
      </c>
      <c r="E17" s="328">
        <f t="shared" si="0"/>
        <v>-368.25</v>
      </c>
      <c r="F17" s="332" t="s">
        <v>759</v>
      </c>
    </row>
    <row r="18" spans="1:6" x14ac:dyDescent="0.2">
      <c r="A18" s="331"/>
      <c r="B18" s="337" t="s">
        <v>716</v>
      </c>
      <c r="C18" s="334">
        <v>7075.9500000000016</v>
      </c>
      <c r="D18" s="336">
        <f>'Budget Status 2023-24'!F22+'Budget Status 2023-24'!F23+'Budget Status 2023-24'!F24+'Budget Status 2023-24'!F25+'Budget Status 2023-24'!F32+'Budget Status 2023-24'!F33+'Budget Status 2023-24'!F36+'Budget Status 2023-24'!F37+'Budget Status 2023-24'!F38+'Budget Status 2023-24'!F39+'Budget Status 2023-24'!F40</f>
        <v>6448.2699999999995</v>
      </c>
      <c r="E18" s="328">
        <f t="shared" si="0"/>
        <v>627.68000000000211</v>
      </c>
      <c r="F18" s="332"/>
    </row>
    <row r="19" spans="1:6" ht="45" x14ac:dyDescent="0.2">
      <c r="A19" s="331"/>
      <c r="B19" s="337" t="s">
        <v>715</v>
      </c>
      <c r="C19" s="334">
        <v>18642</v>
      </c>
      <c r="D19" s="336">
        <f>'Budget Status 2023-24'!F34+'Budget Status 2023-24'!F35+'Budget Status 2023-24'!F55</f>
        <v>11710</v>
      </c>
      <c r="E19" s="328">
        <f t="shared" si="0"/>
        <v>6932</v>
      </c>
      <c r="F19" s="332" t="s">
        <v>764</v>
      </c>
    </row>
    <row r="20" spans="1:6" x14ac:dyDescent="0.2">
      <c r="A20" s="331"/>
      <c r="B20" s="337" t="s">
        <v>714</v>
      </c>
      <c r="C20" s="334">
        <v>370</v>
      </c>
      <c r="D20" s="336">
        <f>'Budget Status 2023-24'!F49</f>
        <v>0</v>
      </c>
      <c r="E20" s="328">
        <f t="shared" si="0"/>
        <v>370</v>
      </c>
      <c r="F20" s="332" t="s">
        <v>765</v>
      </c>
    </row>
    <row r="21" spans="1:6" ht="30" x14ac:dyDescent="0.2">
      <c r="A21" s="331"/>
      <c r="B21" s="337" t="s">
        <v>713</v>
      </c>
      <c r="C21" s="334">
        <v>6029.4800000000023</v>
      </c>
      <c r="D21" s="336">
        <f>-'Budget Status 2023-24'!F68-Activity!L178-Activity!L179-Activity!L181</f>
        <v>3951.6099999999997</v>
      </c>
      <c r="E21" s="328">
        <f t="shared" si="0"/>
        <v>2077.8700000000026</v>
      </c>
      <c r="F21" s="332" t="s">
        <v>760</v>
      </c>
    </row>
    <row r="22" spans="1:6" x14ac:dyDescent="0.2">
      <c r="A22" s="331"/>
      <c r="B22" s="335" t="s">
        <v>763</v>
      </c>
      <c r="C22" s="396">
        <v>-71.649999999999991</v>
      </c>
      <c r="D22" s="333"/>
      <c r="E22" s="328"/>
      <c r="F22" s="332"/>
    </row>
    <row r="23" spans="1:6" x14ac:dyDescent="0.2">
      <c r="A23" s="331"/>
      <c r="B23" s="297"/>
      <c r="C23" s="330">
        <f>SUM(C7:C21)</f>
        <v>47193.760000000002</v>
      </c>
      <c r="D23" s="329">
        <f>SUM(D7:D22)</f>
        <v>28830.45</v>
      </c>
      <c r="E23" s="328">
        <f>C23-D23</f>
        <v>18363.310000000001</v>
      </c>
      <c r="F23" s="297"/>
    </row>
  </sheetData>
  <mergeCells count="1">
    <mergeCell ref="A1:C1"/>
  </mergeCells>
  <phoneticPr fontId="2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Budget Status 2023-24</vt:lpstr>
      <vt:lpstr>Activity</vt:lpstr>
      <vt:lpstr>AGAR CheckCalcs</vt:lpstr>
      <vt:lpstr>Form</vt:lpstr>
      <vt:lpstr>Box 2</vt:lpstr>
      <vt:lpstr>Box 3</vt:lpstr>
      <vt:lpstr>Box 4</vt:lpstr>
      <vt:lpstr>Box 5 &amp; 10</vt:lpstr>
      <vt:lpstr>Box 6</vt:lpstr>
      <vt:lpstr>Box 7 &amp; 8</vt:lpstr>
      <vt:lpstr>Box 9</vt:lpstr>
      <vt:lpstr>Bank Rec</vt:lpstr>
      <vt:lpstr>VAT126</vt:lpstr>
      <vt:lpstr>'Bank Rec'!Print_Area</vt:lpstr>
      <vt:lpstr>'Budget Status 2023-24'!Print_Area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2024-05-09T14:08:36Z</dcterms:modified>
  <cp:category/>
  <cp:contentStatus/>
</cp:coreProperties>
</file>